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-15" windowWidth="19215" windowHeight="12600" firstSheet="1" activeTab="1"/>
  </bookViews>
  <sheets>
    <sheet name="Культура" sheetId="1" r:id="rId1"/>
    <sheet name="Расчет" sheetId="3" r:id="rId2"/>
    <sheet name="Расчет 3Р" sheetId="8" r:id="rId3"/>
    <sheet name="Лист 1" sheetId="2" r:id="rId4"/>
    <sheet name="Лист 2" sheetId="6" r:id="rId5"/>
    <sheet name="Лист 3" sheetId="7" r:id="rId6"/>
    <sheet name="Лист 4" sheetId="5" r:id="rId7"/>
    <sheet name="Лист 5" sheetId="9" r:id="rId8"/>
  </sheets>
  <calcPr calcId="144525"/>
</workbook>
</file>

<file path=xl/calcChain.xml><?xml version="1.0" encoding="utf-8"?>
<calcChain xmlns="http://schemas.openxmlformats.org/spreadsheetml/2006/main">
  <c r="B21" i="3" l="1"/>
  <c r="B22" i="3" s="1"/>
  <c r="B24" i="3"/>
  <c r="E15" i="3"/>
  <c r="D15" i="3"/>
  <c r="BF15" i="6" l="1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BF8" i="6"/>
  <c r="BE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L10" i="3"/>
  <c r="L6" i="3"/>
  <c r="BL15" i="6" l="1"/>
  <c r="BG15" i="6"/>
  <c r="BK15" i="6"/>
  <c r="BO15" i="6"/>
  <c r="BH15" i="6"/>
  <c r="BI15" i="6"/>
  <c r="BM15" i="6"/>
  <c r="BQ15" i="6"/>
  <c r="BP15" i="6"/>
  <c r="BJ15" i="6"/>
  <c r="BN15" i="6"/>
  <c r="BR15" i="6"/>
  <c r="BO8" i="6"/>
  <c r="BH8" i="6"/>
  <c r="BL8" i="6"/>
  <c r="BP8" i="6"/>
  <c r="BK8" i="6"/>
  <c r="BI8" i="6"/>
  <c r="BM8" i="6"/>
  <c r="BQ8" i="6"/>
  <c r="BG8" i="6"/>
  <c r="BJ8" i="6"/>
  <c r="BN8" i="6"/>
  <c r="BR8" i="6"/>
  <c r="M10" i="3"/>
  <c r="J32" i="9" l="1"/>
  <c r="M36" i="9" s="1"/>
  <c r="D39" i="9"/>
  <c r="D38" i="9"/>
  <c r="D37" i="9"/>
  <c r="D11" i="9"/>
  <c r="D12" i="9"/>
  <c r="D10" i="9"/>
  <c r="F5" i="8"/>
  <c r="AI8" i="9"/>
  <c r="AJ8" i="9"/>
  <c r="AK8" i="9"/>
  <c r="AL8" i="9"/>
  <c r="AM8" i="9"/>
  <c r="AN8" i="9"/>
  <c r="AO8" i="9"/>
  <c r="AP8" i="9"/>
  <c r="AQ8" i="9"/>
  <c r="AR8" i="9"/>
  <c r="AS8" i="9"/>
  <c r="AT8" i="9"/>
  <c r="AI9" i="9"/>
  <c r="AJ9" i="9"/>
  <c r="AK9" i="9"/>
  <c r="AL9" i="9"/>
  <c r="AM9" i="9"/>
  <c r="AN9" i="9"/>
  <c r="AO9" i="9"/>
  <c r="AP9" i="9"/>
  <c r="AQ9" i="9"/>
  <c r="AR9" i="9"/>
  <c r="AS9" i="9"/>
  <c r="AT9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J7" i="9"/>
  <c r="AK7" i="9"/>
  <c r="AL7" i="9"/>
  <c r="AM7" i="9"/>
  <c r="AN7" i="9"/>
  <c r="AO7" i="9"/>
  <c r="AP7" i="9"/>
  <c r="AQ7" i="9"/>
  <c r="AR7" i="9"/>
  <c r="AS7" i="9"/>
  <c r="AT7" i="9"/>
  <c r="AI7" i="9"/>
  <c r="AU9" i="9"/>
  <c r="AV9" i="9"/>
  <c r="AW9" i="9"/>
  <c r="AX9" i="9"/>
  <c r="AY9" i="9"/>
  <c r="AZ9" i="9"/>
  <c r="BA9" i="9"/>
  <c r="BB9" i="9"/>
  <c r="BC9" i="9"/>
  <c r="BD9" i="9"/>
  <c r="BE9" i="9"/>
  <c r="BF9" i="9"/>
  <c r="AU10" i="9"/>
  <c r="AV10" i="9"/>
  <c r="AW10" i="9"/>
  <c r="AX10" i="9"/>
  <c r="AY10" i="9"/>
  <c r="AZ10" i="9"/>
  <c r="BA10" i="9"/>
  <c r="BB10" i="9"/>
  <c r="BC10" i="9"/>
  <c r="BD10" i="9"/>
  <c r="BE10" i="9"/>
  <c r="BF10" i="9"/>
  <c r="AU11" i="9"/>
  <c r="AV11" i="9"/>
  <c r="AW11" i="9"/>
  <c r="AX11" i="9"/>
  <c r="AY11" i="9"/>
  <c r="AZ11" i="9"/>
  <c r="BA11" i="9"/>
  <c r="BB11" i="9"/>
  <c r="BC11" i="9"/>
  <c r="BD11" i="9"/>
  <c r="BE11" i="9"/>
  <c r="BF11" i="9"/>
  <c r="AU12" i="9"/>
  <c r="AV12" i="9"/>
  <c r="AW12" i="9"/>
  <c r="AX12" i="9"/>
  <c r="AY12" i="9"/>
  <c r="AZ12" i="9"/>
  <c r="BA12" i="9"/>
  <c r="BB12" i="9"/>
  <c r="BC12" i="9"/>
  <c r="BD12" i="9"/>
  <c r="BE12" i="9"/>
  <c r="BF12" i="9"/>
  <c r="AU8" i="9"/>
  <c r="AV8" i="9"/>
  <c r="AW8" i="9"/>
  <c r="AX8" i="9"/>
  <c r="AY8" i="9"/>
  <c r="AZ8" i="9"/>
  <c r="BA8" i="9"/>
  <c r="BB8" i="9"/>
  <c r="BC8" i="9"/>
  <c r="BD8" i="9"/>
  <c r="BE8" i="9"/>
  <c r="BF8" i="9"/>
  <c r="AV7" i="9"/>
  <c r="AW7" i="9"/>
  <c r="AX7" i="9"/>
  <c r="AY7" i="9"/>
  <c r="AZ7" i="9"/>
  <c r="BA7" i="9"/>
  <c r="BB7" i="9"/>
  <c r="BC7" i="9"/>
  <c r="BD7" i="9"/>
  <c r="BE7" i="9"/>
  <c r="BF7" i="9"/>
  <c r="AU7" i="9"/>
  <c r="F23" i="9"/>
  <c r="H23" i="9" s="1"/>
  <c r="E23" i="9"/>
  <c r="N22" i="9"/>
  <c r="U15" i="9"/>
  <c r="L36" i="9" l="1"/>
  <c r="M35" i="9"/>
  <c r="L35" i="9"/>
  <c r="M37" i="9"/>
  <c r="L39" i="9"/>
  <c r="L34" i="9"/>
  <c r="M38" i="9"/>
  <c r="L38" i="9"/>
  <c r="M34" i="9"/>
  <c r="L37" i="9"/>
  <c r="M39" i="9"/>
  <c r="AF7" i="9"/>
  <c r="AB7" i="9"/>
  <c r="X7" i="9"/>
  <c r="AE12" i="9"/>
  <c r="AA12" i="9"/>
  <c r="W12" i="9"/>
  <c r="AE10" i="9"/>
  <c r="AA10" i="9"/>
  <c r="W10" i="9"/>
  <c r="AE9" i="9"/>
  <c r="AA9" i="9"/>
  <c r="W9" i="9"/>
  <c r="AE8" i="9"/>
  <c r="AA8" i="9"/>
  <c r="W8" i="9"/>
  <c r="W7" i="9"/>
  <c r="AE7" i="9"/>
  <c r="AA7" i="9"/>
  <c r="AH12" i="9"/>
  <c r="AD12" i="9"/>
  <c r="Z12" i="9"/>
  <c r="AH10" i="9"/>
  <c r="AD10" i="9"/>
  <c r="Z10" i="9"/>
  <c r="AH9" i="9"/>
  <c r="AD9" i="9"/>
  <c r="Z9" i="9"/>
  <c r="AH8" i="9"/>
  <c r="AD8" i="9"/>
  <c r="Z8" i="9"/>
  <c r="AH7" i="9"/>
  <c r="AD7" i="9"/>
  <c r="Z7" i="9"/>
  <c r="AG12" i="9"/>
  <c r="AC12" i="9"/>
  <c r="Y12" i="9"/>
  <c r="AG11" i="9"/>
  <c r="AC11" i="9"/>
  <c r="Y11" i="9"/>
  <c r="AG10" i="9"/>
  <c r="AC10" i="9"/>
  <c r="Y10" i="9"/>
  <c r="AG9" i="9"/>
  <c r="AC9" i="9"/>
  <c r="Y9" i="9"/>
  <c r="AG8" i="9"/>
  <c r="AC8" i="9"/>
  <c r="Y8" i="9"/>
  <c r="AD11" i="9"/>
  <c r="AC7" i="9"/>
  <c r="Y7" i="9"/>
  <c r="AF12" i="9"/>
  <c r="AB12" i="9"/>
  <c r="X12" i="9"/>
  <c r="AF11" i="9"/>
  <c r="AB11" i="9"/>
  <c r="X11" i="9"/>
  <c r="AF10" i="9"/>
  <c r="AB10" i="9"/>
  <c r="X10" i="9"/>
  <c r="AF9" i="9"/>
  <c r="AB9" i="9"/>
  <c r="X9" i="9"/>
  <c r="AF8" i="9"/>
  <c r="AB8" i="9"/>
  <c r="X8" i="9"/>
  <c r="AG7" i="9"/>
  <c r="W11" i="9"/>
  <c r="AA11" i="9"/>
  <c r="AH11" i="9"/>
  <c r="Z11" i="9"/>
  <c r="AE11" i="9"/>
  <c r="BG10" i="9"/>
  <c r="BO10" i="9"/>
  <c r="BH7" i="9"/>
  <c r="BL7" i="9"/>
  <c r="BP7" i="9"/>
  <c r="BH8" i="9"/>
  <c r="BL8" i="9"/>
  <c r="BP8" i="9"/>
  <c r="BH9" i="9"/>
  <c r="BL9" i="9"/>
  <c r="BP9" i="9"/>
  <c r="BH10" i="9"/>
  <c r="BL10" i="9"/>
  <c r="BP10" i="9"/>
  <c r="BH11" i="9"/>
  <c r="BL11" i="9"/>
  <c r="BP11" i="9"/>
  <c r="BH12" i="9"/>
  <c r="BL12" i="9"/>
  <c r="BP12" i="9"/>
  <c r="BK8" i="9"/>
  <c r="BK9" i="9"/>
  <c r="BI7" i="9"/>
  <c r="BM7" i="9"/>
  <c r="BQ7" i="9"/>
  <c r="BI8" i="9"/>
  <c r="BM8" i="9"/>
  <c r="BQ8" i="9"/>
  <c r="BI9" i="9"/>
  <c r="BM9" i="9"/>
  <c r="BQ9" i="9"/>
  <c r="BI10" i="9"/>
  <c r="BM10" i="9"/>
  <c r="BQ10" i="9"/>
  <c r="BI11" i="9"/>
  <c r="BM11" i="9"/>
  <c r="BQ11" i="9"/>
  <c r="BI12" i="9"/>
  <c r="BM12" i="9"/>
  <c r="BQ12" i="9"/>
  <c r="BK7" i="9"/>
  <c r="BG8" i="9"/>
  <c r="BO8" i="9"/>
  <c r="BJ7" i="9"/>
  <c r="BN7" i="9"/>
  <c r="BR7" i="9"/>
  <c r="BJ8" i="9"/>
  <c r="BN8" i="9"/>
  <c r="BR8" i="9"/>
  <c r="BJ9" i="9"/>
  <c r="BN9" i="9"/>
  <c r="BR9" i="9"/>
  <c r="BJ10" i="9"/>
  <c r="BN10" i="9"/>
  <c r="BR10" i="9"/>
  <c r="BJ11" i="9"/>
  <c r="BN11" i="9"/>
  <c r="BR11" i="9"/>
  <c r="BJ12" i="9"/>
  <c r="BN12" i="9"/>
  <c r="BR12" i="9"/>
  <c r="BG7" i="9"/>
  <c r="BO7" i="9"/>
  <c r="BG9" i="9"/>
  <c r="BO9" i="9"/>
  <c r="BK10" i="9"/>
  <c r="BG11" i="9"/>
  <c r="BK11" i="9"/>
  <c r="BO11" i="9"/>
  <c r="BG12" i="9"/>
  <c r="BK12" i="9"/>
  <c r="BO12" i="9"/>
  <c r="I23" i="9"/>
  <c r="J23" i="9" s="1"/>
  <c r="D28" i="9" s="1"/>
  <c r="U47" i="5"/>
  <c r="J28" i="5"/>
  <c r="L19" i="5"/>
  <c r="F15" i="3"/>
  <c r="M37" i="5" l="1"/>
  <c r="L37" i="5"/>
  <c r="L34" i="5"/>
  <c r="M31" i="5"/>
  <c r="L31" i="5"/>
  <c r="L46" i="9"/>
  <c r="L43" i="9"/>
  <c r="M46" i="9"/>
  <c r="M43" i="9"/>
  <c r="N39" i="9"/>
  <c r="K39" i="9" s="1"/>
  <c r="N36" i="9"/>
  <c r="K36" i="9" s="1"/>
  <c r="N35" i="9"/>
  <c r="N34" i="9"/>
  <c r="N38" i="9"/>
  <c r="K38" i="9" s="1"/>
  <c r="N37" i="9"/>
  <c r="K37" i="9" s="1"/>
  <c r="L45" i="5"/>
  <c r="L38" i="5"/>
  <c r="L30" i="5"/>
  <c r="M42" i="5"/>
  <c r="M39" i="5"/>
  <c r="M34" i="5"/>
  <c r="M30" i="5"/>
  <c r="L42" i="5"/>
  <c r="L41" i="5"/>
  <c r="L39" i="5"/>
  <c r="L36" i="5"/>
  <c r="L32" i="5"/>
  <c r="M45" i="5"/>
  <c r="M43" i="5"/>
  <c r="M40" i="5"/>
  <c r="M38" i="5"/>
  <c r="M35" i="5"/>
  <c r="M33" i="5"/>
  <c r="L43" i="5"/>
  <c r="L40" i="5"/>
  <c r="L35" i="5"/>
  <c r="L33" i="5"/>
  <c r="M44" i="5"/>
  <c r="M41" i="5"/>
  <c r="M36" i="5"/>
  <c r="M32" i="5"/>
  <c r="L44" i="5"/>
  <c r="P28" i="7"/>
  <c r="J5" i="7"/>
  <c r="K5" i="7"/>
  <c r="F45" i="7"/>
  <c r="I45" i="7" s="1"/>
  <c r="E45" i="7"/>
  <c r="N5" i="7"/>
  <c r="M5" i="7"/>
  <c r="M15" i="7" s="1"/>
  <c r="L5" i="7"/>
  <c r="L15" i="7" s="1"/>
  <c r="R28" i="7"/>
  <c r="N41" i="5" l="1"/>
  <c r="N15" i="7"/>
  <c r="N34" i="5"/>
  <c r="K34" i="5" s="1"/>
  <c r="J34" i="5" s="1"/>
  <c r="N31" i="5"/>
  <c r="K31" i="5" s="1"/>
  <c r="J31" i="5" s="1"/>
  <c r="O28" i="3" s="1"/>
  <c r="N37" i="5"/>
  <c r="K37" i="5" s="1"/>
  <c r="J37" i="5" s="1"/>
  <c r="L23" i="7"/>
  <c r="L8" i="7"/>
  <c r="M24" i="7"/>
  <c r="M8" i="7"/>
  <c r="N46" i="9"/>
  <c r="N43" i="9"/>
  <c r="K43" i="9" s="1"/>
  <c r="L44" i="9"/>
  <c r="K35" i="9"/>
  <c r="J35" i="9" s="1"/>
  <c r="J36" i="9"/>
  <c r="K34" i="9"/>
  <c r="J34" i="9" s="1"/>
  <c r="N44" i="5"/>
  <c r="K44" i="5" s="1"/>
  <c r="J44" i="5" s="1"/>
  <c r="N30" i="5"/>
  <c r="K30" i="5" s="1"/>
  <c r="N32" i="5"/>
  <c r="K32" i="5" s="1"/>
  <c r="J32" i="5" s="1"/>
  <c r="N43" i="5"/>
  <c r="K43" i="5" s="1"/>
  <c r="J43" i="5" s="1"/>
  <c r="N45" i="5"/>
  <c r="K45" i="5" s="1"/>
  <c r="J45" i="5" s="1"/>
  <c r="J39" i="9"/>
  <c r="I7" i="8"/>
  <c r="J38" i="9"/>
  <c r="J37" i="9"/>
  <c r="N36" i="5"/>
  <c r="K36" i="5" s="1"/>
  <c r="J36" i="5" s="1"/>
  <c r="N38" i="5"/>
  <c r="N39" i="5"/>
  <c r="K39" i="5" s="1"/>
  <c r="J39" i="5" s="1"/>
  <c r="N40" i="5"/>
  <c r="K40" i="5" s="1"/>
  <c r="J40" i="5" s="1"/>
  <c r="N42" i="5"/>
  <c r="K42" i="5" s="1"/>
  <c r="J42" i="5" s="1"/>
  <c r="K38" i="5"/>
  <c r="J38" i="5" s="1"/>
  <c r="K41" i="5"/>
  <c r="J41" i="5" s="1"/>
  <c r="N33" i="5"/>
  <c r="K33" i="5" s="1"/>
  <c r="J33" i="5" s="1"/>
  <c r="N35" i="5"/>
  <c r="K35" i="5" s="1"/>
  <c r="J35" i="5" s="1"/>
  <c r="P26" i="7"/>
  <c r="P30" i="7"/>
  <c r="J37" i="7"/>
  <c r="L22" i="7"/>
  <c r="H45" i="7"/>
  <c r="J45" i="7" s="1"/>
  <c r="L10" i="7"/>
  <c r="L16" i="7"/>
  <c r="L7" i="7"/>
  <c r="M12" i="7"/>
  <c r="L21" i="7"/>
  <c r="L12" i="7"/>
  <c r="L18" i="7"/>
  <c r="L11" i="7"/>
  <c r="L17" i="7"/>
  <c r="L24" i="7"/>
  <c r="M10" i="7"/>
  <c r="M18" i="7"/>
  <c r="M17" i="7"/>
  <c r="M11" i="7"/>
  <c r="M14" i="7"/>
  <c r="M7" i="7"/>
  <c r="M9" i="7"/>
  <c r="M16" i="7"/>
  <c r="M21" i="7"/>
  <c r="M22" i="7"/>
  <c r="M23" i="7"/>
  <c r="M19" i="7"/>
  <c r="L9" i="7"/>
  <c r="L14" i="7"/>
  <c r="L19" i="7"/>
  <c r="N34" i="6"/>
  <c r="R26" i="7"/>
  <c r="R30" i="7"/>
  <c r="M15" i="3" l="1"/>
  <c r="J14" i="8"/>
  <c r="J7" i="8" s="1"/>
  <c r="J12" i="8"/>
  <c r="J5" i="8" s="1"/>
  <c r="J13" i="8"/>
  <c r="J6" i="8" s="1"/>
  <c r="H12" i="8"/>
  <c r="S26" i="7"/>
  <c r="N23" i="7"/>
  <c r="N8" i="7"/>
  <c r="I5" i="8"/>
  <c r="I6" i="8"/>
  <c r="N17" i="7"/>
  <c r="J30" i="5"/>
  <c r="N24" i="7"/>
  <c r="N18" i="7"/>
  <c r="N21" i="7"/>
  <c r="N22" i="7"/>
  <c r="N11" i="7"/>
  <c r="N12" i="7"/>
  <c r="N14" i="7"/>
  <c r="N10" i="7"/>
  <c r="N16" i="7"/>
  <c r="N7" i="7"/>
  <c r="N19" i="7"/>
  <c r="N9" i="7"/>
  <c r="O15" i="3" l="1"/>
  <c r="AV9" i="6" l="1"/>
  <c r="AW9" i="6"/>
  <c r="AX9" i="6"/>
  <c r="AY9" i="6"/>
  <c r="AZ9" i="6"/>
  <c r="BA9" i="6"/>
  <c r="BB9" i="6"/>
  <c r="BC9" i="6"/>
  <c r="BD9" i="6"/>
  <c r="BE9" i="6"/>
  <c r="BF9" i="6"/>
  <c r="AV10" i="6"/>
  <c r="AW10" i="6"/>
  <c r="AX10" i="6"/>
  <c r="AY10" i="6"/>
  <c r="AZ10" i="6"/>
  <c r="BA10" i="6"/>
  <c r="BB10" i="6"/>
  <c r="BC10" i="6"/>
  <c r="BD10" i="6"/>
  <c r="BE10" i="6"/>
  <c r="BF10" i="6"/>
  <c r="AV11" i="6"/>
  <c r="AW11" i="6"/>
  <c r="AX11" i="6"/>
  <c r="AY11" i="6"/>
  <c r="AZ11" i="6"/>
  <c r="BA11" i="6"/>
  <c r="BB11" i="6"/>
  <c r="BC11" i="6"/>
  <c r="BD11" i="6"/>
  <c r="BE11" i="6"/>
  <c r="BF11" i="6"/>
  <c r="AV12" i="6"/>
  <c r="AW12" i="6"/>
  <c r="AX12" i="6"/>
  <c r="AY12" i="6"/>
  <c r="AZ12" i="6"/>
  <c r="BA12" i="6"/>
  <c r="BB12" i="6"/>
  <c r="BC12" i="6"/>
  <c r="BD12" i="6"/>
  <c r="BE12" i="6"/>
  <c r="BF12" i="6"/>
  <c r="AV14" i="6"/>
  <c r="AW14" i="6"/>
  <c r="AX14" i="6"/>
  <c r="AY14" i="6"/>
  <c r="AZ14" i="6"/>
  <c r="BA14" i="6"/>
  <c r="BB14" i="6"/>
  <c r="BC14" i="6"/>
  <c r="BD14" i="6"/>
  <c r="BE14" i="6"/>
  <c r="BF14" i="6"/>
  <c r="AV16" i="6"/>
  <c r="AW16" i="6"/>
  <c r="AX16" i="6"/>
  <c r="AY16" i="6"/>
  <c r="AZ16" i="6"/>
  <c r="BA16" i="6"/>
  <c r="BB16" i="6"/>
  <c r="BC16" i="6"/>
  <c r="BD16" i="6"/>
  <c r="BE16" i="6"/>
  <c r="BF16" i="6"/>
  <c r="AV17" i="6"/>
  <c r="AW17" i="6"/>
  <c r="AX17" i="6"/>
  <c r="AY17" i="6"/>
  <c r="AZ17" i="6"/>
  <c r="BA17" i="6"/>
  <c r="BB17" i="6"/>
  <c r="BC17" i="6"/>
  <c r="BD17" i="6"/>
  <c r="BE17" i="6"/>
  <c r="BF17" i="6"/>
  <c r="AV18" i="6"/>
  <c r="AW18" i="6"/>
  <c r="AX18" i="6"/>
  <c r="AY18" i="6"/>
  <c r="AZ18" i="6"/>
  <c r="BA18" i="6"/>
  <c r="BB18" i="6"/>
  <c r="BC18" i="6"/>
  <c r="BD18" i="6"/>
  <c r="BE18" i="6"/>
  <c r="BF18" i="6"/>
  <c r="AV19" i="6"/>
  <c r="AW19" i="6"/>
  <c r="AX19" i="6"/>
  <c r="AY19" i="6"/>
  <c r="AZ19" i="6"/>
  <c r="BA19" i="6"/>
  <c r="BB19" i="6"/>
  <c r="BC19" i="6"/>
  <c r="BD19" i="6"/>
  <c r="BE19" i="6"/>
  <c r="BF19" i="6"/>
  <c r="AV21" i="6"/>
  <c r="AW21" i="6"/>
  <c r="AX21" i="6"/>
  <c r="AY21" i="6"/>
  <c r="AZ21" i="6"/>
  <c r="BA21" i="6"/>
  <c r="BB21" i="6"/>
  <c r="BC21" i="6"/>
  <c r="BD21" i="6"/>
  <c r="BE21" i="6"/>
  <c r="BF21" i="6"/>
  <c r="AV22" i="6"/>
  <c r="AW22" i="6"/>
  <c r="AX22" i="6"/>
  <c r="AY22" i="6"/>
  <c r="AZ22" i="6"/>
  <c r="BA22" i="6"/>
  <c r="BB22" i="6"/>
  <c r="BC22" i="6"/>
  <c r="BD22" i="6"/>
  <c r="BE22" i="6"/>
  <c r="BF22" i="6"/>
  <c r="AV23" i="6"/>
  <c r="AW23" i="6"/>
  <c r="AX23" i="6"/>
  <c r="AY23" i="6"/>
  <c r="AZ23" i="6"/>
  <c r="BA23" i="6"/>
  <c r="BB23" i="6"/>
  <c r="BC23" i="6"/>
  <c r="BD23" i="6"/>
  <c r="BE23" i="6"/>
  <c r="BF23" i="6"/>
  <c r="AV24" i="6"/>
  <c r="AW24" i="6"/>
  <c r="AX24" i="6"/>
  <c r="AY24" i="6"/>
  <c r="AZ24" i="6"/>
  <c r="BA24" i="6"/>
  <c r="BB24" i="6"/>
  <c r="BC24" i="6"/>
  <c r="BD24" i="6"/>
  <c r="BE24" i="6"/>
  <c r="BF24" i="6"/>
  <c r="AW7" i="6"/>
  <c r="AX7" i="6"/>
  <c r="AY7" i="6"/>
  <c r="AZ7" i="6"/>
  <c r="BA7" i="6"/>
  <c r="BB7" i="6"/>
  <c r="BC7" i="6"/>
  <c r="BD7" i="6"/>
  <c r="BE7" i="6"/>
  <c r="BF7" i="6"/>
  <c r="AV7" i="6"/>
  <c r="AU9" i="6"/>
  <c r="AU10" i="6"/>
  <c r="AU11" i="6"/>
  <c r="AU12" i="6"/>
  <c r="AU14" i="6"/>
  <c r="AU16" i="6"/>
  <c r="AU17" i="6"/>
  <c r="AU18" i="6"/>
  <c r="AU19" i="6"/>
  <c r="AU21" i="6"/>
  <c r="AU22" i="6"/>
  <c r="AU23" i="6"/>
  <c r="AU24" i="6"/>
  <c r="AU7" i="6"/>
  <c r="AJ9" i="6"/>
  <c r="AK9" i="6"/>
  <c r="AL9" i="6"/>
  <c r="AM9" i="6"/>
  <c r="AN9" i="6"/>
  <c r="AO9" i="6"/>
  <c r="AP9" i="6"/>
  <c r="AQ9" i="6"/>
  <c r="AR9" i="6"/>
  <c r="AS9" i="6"/>
  <c r="AT9" i="6"/>
  <c r="AJ10" i="6"/>
  <c r="AK10" i="6"/>
  <c r="AL10" i="6"/>
  <c r="AM10" i="6"/>
  <c r="AN10" i="6"/>
  <c r="AO10" i="6"/>
  <c r="AP10" i="6"/>
  <c r="AQ10" i="6"/>
  <c r="AR10" i="6"/>
  <c r="AS10" i="6"/>
  <c r="AT10" i="6"/>
  <c r="AJ11" i="6"/>
  <c r="AK11" i="6"/>
  <c r="AL11" i="6"/>
  <c r="AM11" i="6"/>
  <c r="AN11" i="6"/>
  <c r="AO11" i="6"/>
  <c r="AP11" i="6"/>
  <c r="AQ11" i="6"/>
  <c r="AR11" i="6"/>
  <c r="AS11" i="6"/>
  <c r="AT11" i="6"/>
  <c r="AJ12" i="6"/>
  <c r="AK12" i="6"/>
  <c r="AL12" i="6"/>
  <c r="AM12" i="6"/>
  <c r="AN12" i="6"/>
  <c r="AO12" i="6"/>
  <c r="AP12" i="6"/>
  <c r="AQ12" i="6"/>
  <c r="AR12" i="6"/>
  <c r="AS12" i="6"/>
  <c r="AT12" i="6"/>
  <c r="AJ14" i="6"/>
  <c r="AK14" i="6"/>
  <c r="AL14" i="6"/>
  <c r="AM14" i="6"/>
  <c r="AN14" i="6"/>
  <c r="AO14" i="6"/>
  <c r="AP14" i="6"/>
  <c r="AQ14" i="6"/>
  <c r="AR14" i="6"/>
  <c r="AS14" i="6"/>
  <c r="AT14" i="6"/>
  <c r="AJ16" i="6"/>
  <c r="AK16" i="6"/>
  <c r="AL16" i="6"/>
  <c r="AM16" i="6"/>
  <c r="AN16" i="6"/>
  <c r="AO16" i="6"/>
  <c r="AP16" i="6"/>
  <c r="AQ16" i="6"/>
  <c r="AR16" i="6"/>
  <c r="AS16" i="6"/>
  <c r="AT16" i="6"/>
  <c r="AJ17" i="6"/>
  <c r="AK17" i="6"/>
  <c r="AL17" i="6"/>
  <c r="AM17" i="6"/>
  <c r="AN17" i="6"/>
  <c r="AO17" i="6"/>
  <c r="AP17" i="6"/>
  <c r="AQ17" i="6"/>
  <c r="AR17" i="6"/>
  <c r="AS17" i="6"/>
  <c r="AT17" i="6"/>
  <c r="AJ18" i="6"/>
  <c r="AK18" i="6"/>
  <c r="AL18" i="6"/>
  <c r="AM18" i="6"/>
  <c r="AN18" i="6"/>
  <c r="AO18" i="6"/>
  <c r="AP18" i="6"/>
  <c r="AQ18" i="6"/>
  <c r="AR18" i="6"/>
  <c r="AS18" i="6"/>
  <c r="AT18" i="6"/>
  <c r="AJ19" i="6"/>
  <c r="AK19" i="6"/>
  <c r="AL19" i="6"/>
  <c r="AM19" i="6"/>
  <c r="AN19" i="6"/>
  <c r="AO19" i="6"/>
  <c r="AP19" i="6"/>
  <c r="AQ19" i="6"/>
  <c r="AR19" i="6"/>
  <c r="AS19" i="6"/>
  <c r="AT19" i="6"/>
  <c r="AJ21" i="6"/>
  <c r="AK21" i="6"/>
  <c r="AL21" i="6"/>
  <c r="AM21" i="6"/>
  <c r="AN21" i="6"/>
  <c r="AO21" i="6"/>
  <c r="AP21" i="6"/>
  <c r="AQ21" i="6"/>
  <c r="AR21" i="6"/>
  <c r="AS21" i="6"/>
  <c r="AT21" i="6"/>
  <c r="AJ22" i="6"/>
  <c r="AK22" i="6"/>
  <c r="AL22" i="6"/>
  <c r="AM22" i="6"/>
  <c r="AN22" i="6"/>
  <c r="AO22" i="6"/>
  <c r="AP22" i="6"/>
  <c r="AQ22" i="6"/>
  <c r="AR22" i="6"/>
  <c r="AS22" i="6"/>
  <c r="AT22" i="6"/>
  <c r="AJ23" i="6"/>
  <c r="AK23" i="6"/>
  <c r="AL23" i="6"/>
  <c r="AM23" i="6"/>
  <c r="AN23" i="6"/>
  <c r="AO23" i="6"/>
  <c r="AP23" i="6"/>
  <c r="AQ23" i="6"/>
  <c r="AR23" i="6"/>
  <c r="AS23" i="6"/>
  <c r="AT23" i="6"/>
  <c r="AJ24" i="6"/>
  <c r="AK24" i="6"/>
  <c r="AL24" i="6"/>
  <c r="AM24" i="6"/>
  <c r="AN24" i="6"/>
  <c r="AO24" i="6"/>
  <c r="AP24" i="6"/>
  <c r="AQ24" i="6"/>
  <c r="AR24" i="6"/>
  <c r="AS24" i="6"/>
  <c r="AT24" i="6"/>
  <c r="AJ7" i="6"/>
  <c r="AK7" i="6"/>
  <c r="AL7" i="6"/>
  <c r="AM7" i="6"/>
  <c r="AN7" i="6"/>
  <c r="AO7" i="6"/>
  <c r="AP7" i="6"/>
  <c r="AQ7" i="6"/>
  <c r="AR7" i="6"/>
  <c r="AS7" i="6"/>
  <c r="AT7" i="6"/>
  <c r="AI9" i="6"/>
  <c r="AI10" i="6"/>
  <c r="AI11" i="6"/>
  <c r="AI12" i="6"/>
  <c r="AI14" i="6"/>
  <c r="AI16" i="6"/>
  <c r="AI17" i="6"/>
  <c r="AI18" i="6"/>
  <c r="AI19" i="6"/>
  <c r="AI21" i="6"/>
  <c r="AI22" i="6"/>
  <c r="AI23" i="6"/>
  <c r="AI24" i="6"/>
  <c r="AI7" i="6"/>
  <c r="F35" i="6"/>
  <c r="H35" i="6" s="1"/>
  <c r="E35" i="6"/>
  <c r="BG7" i="6" l="1"/>
  <c r="BG21" i="6"/>
  <c r="BG17" i="6"/>
  <c r="BG11" i="6"/>
  <c r="BR7" i="6"/>
  <c r="BJ7" i="6"/>
  <c r="BP24" i="6"/>
  <c r="BL24" i="6"/>
  <c r="BH24" i="6"/>
  <c r="BO23" i="6"/>
  <c r="BK23" i="6"/>
  <c r="BR22" i="6"/>
  <c r="BN22" i="6"/>
  <c r="BJ22" i="6"/>
  <c r="BQ21" i="6"/>
  <c r="BM21" i="6"/>
  <c r="BI21" i="6"/>
  <c r="BO19" i="6"/>
  <c r="BK19" i="6"/>
  <c r="BR18" i="6"/>
  <c r="BN18" i="6"/>
  <c r="BJ18" i="6"/>
  <c r="BQ17" i="6"/>
  <c r="BM17" i="6"/>
  <c r="BI17" i="6"/>
  <c r="BP16" i="6"/>
  <c r="BL16" i="6"/>
  <c r="BH16" i="6"/>
  <c r="BO14" i="6"/>
  <c r="BK14" i="6"/>
  <c r="BR12" i="6"/>
  <c r="BN12" i="6"/>
  <c r="BJ12" i="6"/>
  <c r="BQ11" i="6"/>
  <c r="BM11" i="6"/>
  <c r="BI11" i="6"/>
  <c r="BP10" i="6"/>
  <c r="BL10" i="6"/>
  <c r="BH10" i="6"/>
  <c r="BO9" i="6"/>
  <c r="BK9" i="6"/>
  <c r="BG24" i="6"/>
  <c r="BG16" i="6"/>
  <c r="BG10" i="6"/>
  <c r="BQ7" i="6"/>
  <c r="BM7" i="6"/>
  <c r="BI7" i="6"/>
  <c r="BO24" i="6"/>
  <c r="BK24" i="6"/>
  <c r="BR23" i="6"/>
  <c r="BN23" i="6"/>
  <c r="BJ23" i="6"/>
  <c r="BQ22" i="6"/>
  <c r="BM22" i="6"/>
  <c r="BI22" i="6"/>
  <c r="BP21" i="6"/>
  <c r="BL21" i="6"/>
  <c r="BH21" i="6"/>
  <c r="BR19" i="6"/>
  <c r="BN19" i="6"/>
  <c r="BJ19" i="6"/>
  <c r="BQ18" i="6"/>
  <c r="BM18" i="6"/>
  <c r="BI18" i="6"/>
  <c r="BP17" i="6"/>
  <c r="BL17" i="6"/>
  <c r="BH17" i="6"/>
  <c r="BO16" i="6"/>
  <c r="BK16" i="6"/>
  <c r="BR14" i="6"/>
  <c r="BN14" i="6"/>
  <c r="BJ14" i="6"/>
  <c r="BQ12" i="6"/>
  <c r="BM12" i="6"/>
  <c r="BI12" i="6"/>
  <c r="BP11" i="6"/>
  <c r="BL11" i="6"/>
  <c r="BH11" i="6"/>
  <c r="BO10" i="6"/>
  <c r="BK10" i="6"/>
  <c r="BR9" i="6"/>
  <c r="BN9" i="6"/>
  <c r="BJ9" i="6"/>
  <c r="BG23" i="6"/>
  <c r="BG19" i="6"/>
  <c r="BG14" i="6"/>
  <c r="BG9" i="6"/>
  <c r="BP7" i="6"/>
  <c r="BL7" i="6"/>
  <c r="BR24" i="6"/>
  <c r="BN24" i="6"/>
  <c r="BJ24" i="6"/>
  <c r="BQ23" i="6"/>
  <c r="BM23" i="6"/>
  <c r="BI23" i="6"/>
  <c r="BP22" i="6"/>
  <c r="BL22" i="6"/>
  <c r="BH22" i="6"/>
  <c r="BO21" i="6"/>
  <c r="BK21" i="6"/>
  <c r="BQ19" i="6"/>
  <c r="BM19" i="6"/>
  <c r="BI19" i="6"/>
  <c r="BP18" i="6"/>
  <c r="BL18" i="6"/>
  <c r="BH18" i="6"/>
  <c r="BO17" i="6"/>
  <c r="BK17" i="6"/>
  <c r="BR16" i="6"/>
  <c r="BN16" i="6"/>
  <c r="BJ16" i="6"/>
  <c r="BQ14" i="6"/>
  <c r="BM14" i="6"/>
  <c r="BI14" i="6"/>
  <c r="BP12" i="6"/>
  <c r="BL12" i="6"/>
  <c r="BH12" i="6"/>
  <c r="BO11" i="6"/>
  <c r="BK11" i="6"/>
  <c r="BR10" i="6"/>
  <c r="BN10" i="6"/>
  <c r="BJ10" i="6"/>
  <c r="BQ9" i="6"/>
  <c r="BM9" i="6"/>
  <c r="BI9" i="6"/>
  <c r="BG22" i="6"/>
  <c r="BG18" i="6"/>
  <c r="BG12" i="6"/>
  <c r="BH7" i="6"/>
  <c r="BO7" i="6"/>
  <c r="BK7" i="6"/>
  <c r="BQ24" i="6"/>
  <c r="BM24" i="6"/>
  <c r="BI24" i="6"/>
  <c r="BP23" i="6"/>
  <c r="BL23" i="6"/>
  <c r="BH23" i="6"/>
  <c r="BO22" i="6"/>
  <c r="BK22" i="6"/>
  <c r="BR21" i="6"/>
  <c r="BN21" i="6"/>
  <c r="BJ21" i="6"/>
  <c r="BP19" i="6"/>
  <c r="BL19" i="6"/>
  <c r="BH19" i="6"/>
  <c r="BO18" i="6"/>
  <c r="BK18" i="6"/>
  <c r="BR17" i="6"/>
  <c r="BN17" i="6"/>
  <c r="BJ17" i="6"/>
  <c r="BQ16" i="6"/>
  <c r="BM16" i="6"/>
  <c r="BI16" i="6"/>
  <c r="BP14" i="6"/>
  <c r="BL14" i="6"/>
  <c r="BH14" i="6"/>
  <c r="BO12" i="6"/>
  <c r="BK12" i="6"/>
  <c r="BR11" i="6"/>
  <c r="BN11" i="6"/>
  <c r="BJ11" i="6"/>
  <c r="BQ10" i="6"/>
  <c r="BM10" i="6"/>
  <c r="BI10" i="6"/>
  <c r="BP9" i="6"/>
  <c r="BL9" i="6"/>
  <c r="BH9" i="6"/>
  <c r="BN7" i="6"/>
  <c r="I35" i="6"/>
  <c r="J35" i="6" s="1"/>
  <c r="D40" i="6" s="1"/>
  <c r="D6" i="3"/>
  <c r="G6" i="3"/>
  <c r="E10" i="5"/>
  <c r="G10" i="5" s="1"/>
  <c r="D10" i="5"/>
  <c r="K15" i="7" l="1"/>
  <c r="J15" i="7" s="1"/>
  <c r="K8" i="7"/>
  <c r="J8" i="7" s="1"/>
  <c r="AD15" i="6"/>
  <c r="Q15" i="6" s="1"/>
  <c r="AA15" i="6"/>
  <c r="N15" i="6" s="1"/>
  <c r="Y15" i="6"/>
  <c r="L15" i="6" s="1"/>
  <c r="AG15" i="6"/>
  <c r="T15" i="6" s="1"/>
  <c r="Z15" i="6"/>
  <c r="M15" i="6" s="1"/>
  <c r="AF15" i="6"/>
  <c r="S15" i="6" s="1"/>
  <c r="AE15" i="6"/>
  <c r="R15" i="6" s="1"/>
  <c r="X15" i="6"/>
  <c r="K15" i="6" s="1"/>
  <c r="AC15" i="6"/>
  <c r="P15" i="6" s="1"/>
  <c r="AB15" i="6"/>
  <c r="O15" i="6" s="1"/>
  <c r="AH15" i="6"/>
  <c r="U15" i="6" s="1"/>
  <c r="W15" i="6"/>
  <c r="J15" i="6" s="1"/>
  <c r="Y8" i="6"/>
  <c r="L8" i="6" s="1"/>
  <c r="AF8" i="6"/>
  <c r="S8" i="6" s="1"/>
  <c r="X8" i="6"/>
  <c r="K8" i="6" s="1"/>
  <c r="W8" i="6"/>
  <c r="J8" i="6" s="1"/>
  <c r="AD8" i="6"/>
  <c r="Q8" i="6" s="1"/>
  <c r="Z8" i="6"/>
  <c r="M8" i="6" s="1"/>
  <c r="AH8" i="6"/>
  <c r="U8" i="6" s="1"/>
  <c r="AC8" i="6"/>
  <c r="P8" i="6" s="1"/>
  <c r="AA8" i="6"/>
  <c r="N8" i="6" s="1"/>
  <c r="AG8" i="6"/>
  <c r="T8" i="6" s="1"/>
  <c r="AB8" i="6"/>
  <c r="O8" i="6" s="1"/>
  <c r="AE8" i="6"/>
  <c r="R8" i="6" s="1"/>
  <c r="N12" i="9"/>
  <c r="L7" i="9"/>
  <c r="O8" i="9"/>
  <c r="U8" i="9" s="1"/>
  <c r="L10" i="9"/>
  <c r="M9" i="9"/>
  <c r="K12" i="9"/>
  <c r="Q12" i="9" s="1"/>
  <c r="R10" i="9"/>
  <c r="M7" i="9"/>
  <c r="J12" i="9"/>
  <c r="P12" i="9" s="1"/>
  <c r="U12" i="9"/>
  <c r="L9" i="9"/>
  <c r="O10" i="9"/>
  <c r="U10" i="9" s="1"/>
  <c r="M12" i="9"/>
  <c r="S12" i="9" s="1"/>
  <c r="N9" i="9"/>
  <c r="M11" i="9"/>
  <c r="J10" i="9"/>
  <c r="P10" i="9" s="1"/>
  <c r="O11" i="9"/>
  <c r="J11" i="9"/>
  <c r="P11" i="9" s="1"/>
  <c r="Q9" i="9"/>
  <c r="L11" i="9"/>
  <c r="O12" i="9"/>
  <c r="K7" i="9"/>
  <c r="Q7" i="9" s="1"/>
  <c r="J7" i="9"/>
  <c r="U7" i="9"/>
  <c r="R12" i="9"/>
  <c r="N10" i="9"/>
  <c r="T10" i="9" s="1"/>
  <c r="N7" i="9"/>
  <c r="T7" i="9"/>
  <c r="K9" i="9"/>
  <c r="R8" i="9"/>
  <c r="S9" i="9"/>
  <c r="L12" i="9"/>
  <c r="K10" i="9"/>
  <c r="Q10" i="9" s="1"/>
  <c r="T12" i="9"/>
  <c r="R7" i="9"/>
  <c r="M8" i="9"/>
  <c r="S8" i="9" s="1"/>
  <c r="T9" i="9"/>
  <c r="K11" i="9"/>
  <c r="J9" i="9"/>
  <c r="P9" i="9" s="1"/>
  <c r="J8" i="9"/>
  <c r="L8" i="9"/>
  <c r="O9" i="9"/>
  <c r="U9" i="9" s="1"/>
  <c r="N11" i="9"/>
  <c r="P7" i="9"/>
  <c r="M10" i="9"/>
  <c r="S10" i="9" s="1"/>
  <c r="N8" i="9"/>
  <c r="T8" i="9" s="1"/>
  <c r="S7" i="9"/>
  <c r="O7" i="9"/>
  <c r="P8" i="9"/>
  <c r="K8" i="9"/>
  <c r="Q8" i="9" s="1"/>
  <c r="R9" i="9"/>
  <c r="K17" i="7"/>
  <c r="J17" i="7" s="1"/>
  <c r="K22" i="7"/>
  <c r="J22" i="7" s="1"/>
  <c r="K10" i="7"/>
  <c r="J10" i="7" s="1"/>
  <c r="K23" i="7"/>
  <c r="J23" i="7" s="1"/>
  <c r="K9" i="7"/>
  <c r="J9" i="7" s="1"/>
  <c r="K18" i="7"/>
  <c r="J18" i="7" s="1"/>
  <c r="K24" i="7"/>
  <c r="J24" i="7" s="1"/>
  <c r="K12" i="7"/>
  <c r="J12" i="7" s="1"/>
  <c r="K21" i="7"/>
  <c r="J21" i="7" s="1"/>
  <c r="K11" i="7"/>
  <c r="J11" i="7" s="1"/>
  <c r="K7" i="7"/>
  <c r="K16" i="7"/>
  <c r="J16" i="7" s="1"/>
  <c r="K14" i="7"/>
  <c r="J14" i="7" s="1"/>
  <c r="K19" i="7"/>
  <c r="J19" i="7" s="1"/>
  <c r="X9" i="6"/>
  <c r="K9" i="6" s="1"/>
  <c r="AB9" i="6"/>
  <c r="O9" i="6" s="1"/>
  <c r="AF9" i="6"/>
  <c r="S9" i="6" s="1"/>
  <c r="X10" i="6"/>
  <c r="K10" i="6" s="1"/>
  <c r="AB10" i="6"/>
  <c r="O10" i="6" s="1"/>
  <c r="AF10" i="6"/>
  <c r="S10" i="6" s="1"/>
  <c r="X11" i="6"/>
  <c r="K11" i="6" s="1"/>
  <c r="AB11" i="6"/>
  <c r="O11" i="6" s="1"/>
  <c r="AF11" i="6"/>
  <c r="S11" i="6" s="1"/>
  <c r="X12" i="6"/>
  <c r="K12" i="6" s="1"/>
  <c r="AB12" i="6"/>
  <c r="O12" i="6" s="1"/>
  <c r="AF12" i="6"/>
  <c r="S12" i="6" s="1"/>
  <c r="X14" i="6"/>
  <c r="AB14" i="6"/>
  <c r="O14" i="6" s="1"/>
  <c r="AF14" i="6"/>
  <c r="S14" i="6" s="1"/>
  <c r="X16" i="6"/>
  <c r="K16" i="6" s="1"/>
  <c r="AB16" i="6"/>
  <c r="O16" i="6" s="1"/>
  <c r="AF16" i="6"/>
  <c r="S16" i="6" s="1"/>
  <c r="X17" i="6"/>
  <c r="K17" i="6" s="1"/>
  <c r="AB17" i="6"/>
  <c r="O17" i="6" s="1"/>
  <c r="AF17" i="6"/>
  <c r="S17" i="6" s="1"/>
  <c r="X18" i="6"/>
  <c r="K18" i="6" s="1"/>
  <c r="AB18" i="6"/>
  <c r="O18" i="6" s="1"/>
  <c r="AF18" i="6"/>
  <c r="S18" i="6" s="1"/>
  <c r="X19" i="6"/>
  <c r="K19" i="6" s="1"/>
  <c r="AB19" i="6"/>
  <c r="O19" i="6" s="1"/>
  <c r="AF19" i="6"/>
  <c r="S19" i="6" s="1"/>
  <c r="X21" i="6"/>
  <c r="K21" i="6" s="1"/>
  <c r="AB21" i="6"/>
  <c r="O21" i="6" s="1"/>
  <c r="AF21" i="6"/>
  <c r="S21" i="6" s="1"/>
  <c r="X22" i="6"/>
  <c r="K22" i="6" s="1"/>
  <c r="AB22" i="6"/>
  <c r="O22" i="6" s="1"/>
  <c r="AF22" i="6"/>
  <c r="S22" i="6" s="1"/>
  <c r="X23" i="6"/>
  <c r="K23" i="6" s="1"/>
  <c r="AB23" i="6"/>
  <c r="O23" i="6" s="1"/>
  <c r="AF23" i="6"/>
  <c r="S23" i="6" s="1"/>
  <c r="X24" i="6"/>
  <c r="K24" i="6" s="1"/>
  <c r="AB24" i="6"/>
  <c r="O24" i="6" s="1"/>
  <c r="AF24" i="6"/>
  <c r="S24" i="6" s="1"/>
  <c r="Y7" i="6"/>
  <c r="L7" i="6" s="1"/>
  <c r="AC7" i="6"/>
  <c r="P7" i="6" s="1"/>
  <c r="AG7" i="6"/>
  <c r="T7" i="6" s="1"/>
  <c r="AG22" i="6"/>
  <c r="T22" i="6" s="1"/>
  <c r="AC23" i="6"/>
  <c r="P23" i="6" s="1"/>
  <c r="Y24" i="6"/>
  <c r="L24" i="6" s="1"/>
  <c r="AG24" i="6"/>
  <c r="T24" i="6" s="1"/>
  <c r="AD7" i="6"/>
  <c r="Q7" i="6" s="1"/>
  <c r="AA12" i="6"/>
  <c r="N12" i="6" s="1"/>
  <c r="AA14" i="6"/>
  <c r="N14" i="6" s="1"/>
  <c r="AA16" i="6"/>
  <c r="N16" i="6" s="1"/>
  <c r="AA17" i="6"/>
  <c r="N17" i="6" s="1"/>
  <c r="AA18" i="6"/>
  <c r="N18" i="6" s="1"/>
  <c r="AA19" i="6"/>
  <c r="N19" i="6" s="1"/>
  <c r="AA21" i="6"/>
  <c r="N21" i="6" s="1"/>
  <c r="AA22" i="6"/>
  <c r="N22" i="6" s="1"/>
  <c r="W23" i="6"/>
  <c r="J23" i="6" s="1"/>
  <c r="W24" i="6"/>
  <c r="J24" i="6" s="1"/>
  <c r="AB7" i="6"/>
  <c r="O7" i="6" s="1"/>
  <c r="Y9" i="6"/>
  <c r="L9" i="6" s="1"/>
  <c r="AC9" i="6"/>
  <c r="P9" i="6" s="1"/>
  <c r="AG9" i="6"/>
  <c r="T9" i="6" s="1"/>
  <c r="Y10" i="6"/>
  <c r="L10" i="6" s="1"/>
  <c r="AC10" i="6"/>
  <c r="P10" i="6" s="1"/>
  <c r="AG10" i="6"/>
  <c r="T10" i="6" s="1"/>
  <c r="Y11" i="6"/>
  <c r="L11" i="6" s="1"/>
  <c r="AC11" i="6"/>
  <c r="P11" i="6" s="1"/>
  <c r="AG11" i="6"/>
  <c r="T11" i="6" s="1"/>
  <c r="Y12" i="6"/>
  <c r="L12" i="6" s="1"/>
  <c r="AC12" i="6"/>
  <c r="P12" i="6" s="1"/>
  <c r="AG12" i="6"/>
  <c r="T12" i="6" s="1"/>
  <c r="Y14" i="6"/>
  <c r="L14" i="6" s="1"/>
  <c r="AC14" i="6"/>
  <c r="P14" i="6" s="1"/>
  <c r="AG14" i="6"/>
  <c r="T14" i="6" s="1"/>
  <c r="Y16" i="6"/>
  <c r="L16" i="6" s="1"/>
  <c r="AC16" i="6"/>
  <c r="P16" i="6" s="1"/>
  <c r="AG16" i="6"/>
  <c r="T16" i="6" s="1"/>
  <c r="Y17" i="6"/>
  <c r="L17" i="6" s="1"/>
  <c r="AC17" i="6"/>
  <c r="P17" i="6" s="1"/>
  <c r="AG17" i="6"/>
  <c r="T17" i="6" s="1"/>
  <c r="Y18" i="6"/>
  <c r="L18" i="6" s="1"/>
  <c r="AC18" i="6"/>
  <c r="P18" i="6" s="1"/>
  <c r="AG18" i="6"/>
  <c r="T18" i="6" s="1"/>
  <c r="Y19" i="6"/>
  <c r="L19" i="6" s="1"/>
  <c r="AC19" i="6"/>
  <c r="P19" i="6" s="1"/>
  <c r="AG19" i="6"/>
  <c r="T19" i="6" s="1"/>
  <c r="Y21" i="6"/>
  <c r="L21" i="6" s="1"/>
  <c r="AC21" i="6"/>
  <c r="P21" i="6" s="1"/>
  <c r="AG21" i="6"/>
  <c r="T21" i="6" s="1"/>
  <c r="Y22" i="6"/>
  <c r="L22" i="6" s="1"/>
  <c r="AC22" i="6"/>
  <c r="P22" i="6" s="1"/>
  <c r="Y23" i="6"/>
  <c r="L23" i="6" s="1"/>
  <c r="AG23" i="6"/>
  <c r="T23" i="6" s="1"/>
  <c r="AC24" i="6"/>
  <c r="P24" i="6" s="1"/>
  <c r="Z7" i="6"/>
  <c r="M7" i="6" s="1"/>
  <c r="AH7" i="6"/>
  <c r="U7" i="6" s="1"/>
  <c r="W14" i="6"/>
  <c r="J14" i="6" s="1"/>
  <c r="W16" i="6"/>
  <c r="J16" i="6" s="1"/>
  <c r="W17" i="6"/>
  <c r="J17" i="6" s="1"/>
  <c r="W18" i="6"/>
  <c r="J18" i="6" s="1"/>
  <c r="W19" i="6"/>
  <c r="J19" i="6" s="1"/>
  <c r="W21" i="6"/>
  <c r="J21" i="6" s="1"/>
  <c r="W22" i="6"/>
  <c r="J22" i="6" s="1"/>
  <c r="AA23" i="6"/>
  <c r="N23" i="6" s="1"/>
  <c r="AE24" i="6"/>
  <c r="R24" i="6" s="1"/>
  <c r="AF7" i="6"/>
  <c r="S7" i="6" s="1"/>
  <c r="Z9" i="6"/>
  <c r="M9" i="6" s="1"/>
  <c r="AD9" i="6"/>
  <c r="Q9" i="6" s="1"/>
  <c r="AH9" i="6"/>
  <c r="U9" i="6" s="1"/>
  <c r="Z10" i="6"/>
  <c r="M10" i="6" s="1"/>
  <c r="AD10" i="6"/>
  <c r="Q10" i="6" s="1"/>
  <c r="AH10" i="6"/>
  <c r="U10" i="6" s="1"/>
  <c r="Z11" i="6"/>
  <c r="M11" i="6" s="1"/>
  <c r="AD11" i="6"/>
  <c r="Q11" i="6" s="1"/>
  <c r="AH11" i="6"/>
  <c r="Z12" i="6"/>
  <c r="M12" i="6" s="1"/>
  <c r="AD12" i="6"/>
  <c r="Q12" i="6" s="1"/>
  <c r="AH12" i="6"/>
  <c r="U12" i="6" s="1"/>
  <c r="Z14" i="6"/>
  <c r="M14" i="6" s="1"/>
  <c r="AD14" i="6"/>
  <c r="Q14" i="6" s="1"/>
  <c r="AH14" i="6"/>
  <c r="U14" i="6" s="1"/>
  <c r="Z16" i="6"/>
  <c r="M16" i="6" s="1"/>
  <c r="AD16" i="6"/>
  <c r="Q16" i="6" s="1"/>
  <c r="AH16" i="6"/>
  <c r="U16" i="6" s="1"/>
  <c r="Z17" i="6"/>
  <c r="M17" i="6" s="1"/>
  <c r="AD17" i="6"/>
  <c r="Q17" i="6" s="1"/>
  <c r="AH17" i="6"/>
  <c r="U17" i="6" s="1"/>
  <c r="Z18" i="6"/>
  <c r="M18" i="6" s="1"/>
  <c r="AD18" i="6"/>
  <c r="Q18" i="6" s="1"/>
  <c r="AH18" i="6"/>
  <c r="U18" i="6" s="1"/>
  <c r="Z19" i="6"/>
  <c r="M19" i="6" s="1"/>
  <c r="AD19" i="6"/>
  <c r="Q19" i="6" s="1"/>
  <c r="AH19" i="6"/>
  <c r="U19" i="6" s="1"/>
  <c r="Z21" i="6"/>
  <c r="M21" i="6" s="1"/>
  <c r="AD21" i="6"/>
  <c r="Q21" i="6" s="1"/>
  <c r="AH21" i="6"/>
  <c r="U21" i="6" s="1"/>
  <c r="Z22" i="6"/>
  <c r="M22" i="6" s="1"/>
  <c r="AD22" i="6"/>
  <c r="Q22" i="6" s="1"/>
  <c r="AH22" i="6"/>
  <c r="U22" i="6" s="1"/>
  <c r="Z23" i="6"/>
  <c r="M23" i="6" s="1"/>
  <c r="AD23" i="6"/>
  <c r="Q23" i="6" s="1"/>
  <c r="AH23" i="6"/>
  <c r="U23" i="6" s="1"/>
  <c r="Z24" i="6"/>
  <c r="M24" i="6" s="1"/>
  <c r="AD24" i="6"/>
  <c r="Q24" i="6" s="1"/>
  <c r="AH24" i="6"/>
  <c r="U24" i="6" s="1"/>
  <c r="AA7" i="6"/>
  <c r="N7" i="6" s="1"/>
  <c r="AE7" i="6"/>
  <c r="R7" i="6" s="1"/>
  <c r="W7" i="6"/>
  <c r="J7" i="6" s="1"/>
  <c r="W9" i="6"/>
  <c r="J9" i="6" s="1"/>
  <c r="AA9" i="6"/>
  <c r="N9" i="6" s="1"/>
  <c r="AE9" i="6"/>
  <c r="R9" i="6" s="1"/>
  <c r="W10" i="6"/>
  <c r="J10" i="6" s="1"/>
  <c r="AA10" i="6"/>
  <c r="N10" i="6" s="1"/>
  <c r="AE10" i="6"/>
  <c r="R10" i="6" s="1"/>
  <c r="W11" i="6"/>
  <c r="J11" i="6" s="1"/>
  <c r="AA11" i="6"/>
  <c r="N11" i="6" s="1"/>
  <c r="AE11" i="6"/>
  <c r="R11" i="6" s="1"/>
  <c r="W12" i="6"/>
  <c r="J12" i="6" s="1"/>
  <c r="AE12" i="6"/>
  <c r="R12" i="6" s="1"/>
  <c r="AE14" i="6"/>
  <c r="R14" i="6" s="1"/>
  <c r="AE16" i="6"/>
  <c r="R16" i="6" s="1"/>
  <c r="AE17" i="6"/>
  <c r="R17" i="6" s="1"/>
  <c r="AE18" i="6"/>
  <c r="R18" i="6" s="1"/>
  <c r="AE19" i="6"/>
  <c r="R19" i="6" s="1"/>
  <c r="AE21" i="6"/>
  <c r="R21" i="6" s="1"/>
  <c r="AE22" i="6"/>
  <c r="R22" i="6" s="1"/>
  <c r="AE23" i="6"/>
  <c r="R23" i="6" s="1"/>
  <c r="AA24" i="6"/>
  <c r="N24" i="6" s="1"/>
  <c r="X7" i="6"/>
  <c r="K7" i="6" s="1"/>
  <c r="K14" i="6"/>
  <c r="U11" i="6"/>
  <c r="H10" i="5"/>
  <c r="I10" i="5" s="1"/>
  <c r="C15" i="5" s="1"/>
  <c r="V15" i="6" l="1"/>
  <c r="V8" i="6"/>
  <c r="P13" i="9"/>
  <c r="K13" i="9"/>
  <c r="Q11" i="9"/>
  <c r="Q13" i="9" s="1"/>
  <c r="L13" i="9"/>
  <c r="R11" i="9"/>
  <c r="R13" i="9" s="1"/>
  <c r="N13" i="9"/>
  <c r="T11" i="9"/>
  <c r="T13" i="9" s="1"/>
  <c r="O13" i="9"/>
  <c r="U11" i="9"/>
  <c r="U13" i="9" s="1"/>
  <c r="M13" i="9"/>
  <c r="S11" i="9"/>
  <c r="S13" i="9" s="1"/>
  <c r="V10" i="9"/>
  <c r="V8" i="9"/>
  <c r="J13" i="9"/>
  <c r="N14" i="9"/>
  <c r="V7" i="9"/>
  <c r="V9" i="9"/>
  <c r="N16" i="9"/>
  <c r="V12" i="9"/>
  <c r="J7" i="7"/>
  <c r="K13" i="7"/>
  <c r="N27" i="7"/>
  <c r="J20" i="7"/>
  <c r="J25" i="7"/>
  <c r="N29" i="7"/>
  <c r="K13" i="6"/>
  <c r="R25" i="6"/>
  <c r="V9" i="6"/>
  <c r="P25" i="6"/>
  <c r="R20" i="6"/>
  <c r="V10" i="6"/>
  <c r="J13" i="6"/>
  <c r="V7" i="6"/>
  <c r="Q25" i="6"/>
  <c r="M20" i="6"/>
  <c r="V22" i="6"/>
  <c r="V18" i="6"/>
  <c r="U13" i="6"/>
  <c r="L25" i="6"/>
  <c r="O13" i="6"/>
  <c r="Q13" i="6"/>
  <c r="S25" i="6"/>
  <c r="O20" i="6"/>
  <c r="U25" i="6"/>
  <c r="Q20" i="6"/>
  <c r="V14" i="6"/>
  <c r="J20" i="6"/>
  <c r="L13" i="6"/>
  <c r="S20" i="6"/>
  <c r="K20" i="6"/>
  <c r="V11" i="6"/>
  <c r="R13" i="6"/>
  <c r="M25" i="6"/>
  <c r="S13" i="6"/>
  <c r="V21" i="6"/>
  <c r="V17" i="6"/>
  <c r="M13" i="6"/>
  <c r="T20" i="6"/>
  <c r="V24" i="6"/>
  <c r="J25" i="6"/>
  <c r="T13" i="6"/>
  <c r="O25" i="6"/>
  <c r="V19" i="6"/>
  <c r="L20" i="6"/>
  <c r="V12" i="6"/>
  <c r="N13" i="6"/>
  <c r="U20" i="6"/>
  <c r="N25" i="6"/>
  <c r="V16" i="6"/>
  <c r="T25" i="6"/>
  <c r="P20" i="6"/>
  <c r="V23" i="6"/>
  <c r="N20" i="6"/>
  <c r="P13" i="6"/>
  <c r="K25" i="6"/>
  <c r="N26" i="6"/>
  <c r="N28" i="6"/>
  <c r="N30" i="6"/>
  <c r="M31" i="6" l="1"/>
  <c r="P30" i="6" s="1"/>
  <c r="M29" i="6"/>
  <c r="P28" i="6" s="1"/>
  <c r="M30" i="7"/>
  <c r="P29" i="7" s="1"/>
  <c r="M28" i="7"/>
  <c r="P27" i="7" s="1"/>
  <c r="U26" i="6"/>
  <c r="O6" i="3" s="1"/>
  <c r="N18" i="9"/>
  <c r="M18" i="9" s="1"/>
  <c r="P19" i="9" s="1"/>
  <c r="V11" i="9"/>
  <c r="M16" i="9"/>
  <c r="P17" i="9" s="1"/>
  <c r="M17" i="9"/>
  <c r="P16" i="9" s="1"/>
  <c r="M14" i="9"/>
  <c r="P15" i="9" s="1"/>
  <c r="M15" i="9"/>
  <c r="P14" i="9" s="1"/>
  <c r="J13" i="7"/>
  <c r="N25" i="7"/>
  <c r="U25" i="7" s="1"/>
  <c r="M26" i="6"/>
  <c r="P27" i="6" s="1"/>
  <c r="M27" i="6"/>
  <c r="P26" i="6" s="1"/>
  <c r="M30" i="6"/>
  <c r="P31" i="6" s="1"/>
  <c r="M28" i="6"/>
  <c r="P29" i="6" s="1"/>
  <c r="R34" i="7"/>
  <c r="R27" i="7"/>
  <c r="R17" i="9"/>
  <c r="R29" i="7"/>
  <c r="R27" i="6"/>
  <c r="R15" i="9"/>
  <c r="R33" i="7"/>
  <c r="R29" i="6"/>
  <c r="R31" i="6"/>
  <c r="R19" i="9"/>
  <c r="R16" i="9"/>
  <c r="R30" i="6"/>
  <c r="R26" i="6"/>
  <c r="R14" i="9"/>
  <c r="R28" i="6"/>
  <c r="O10" i="3" l="1"/>
  <c r="S27" i="6"/>
  <c r="S26" i="6"/>
  <c r="U14" i="9"/>
  <c r="U16" i="9" s="1"/>
  <c r="M19" i="9"/>
  <c r="P18" i="9" s="1"/>
  <c r="S15" i="9"/>
  <c r="M26" i="7"/>
  <c r="P25" i="7" s="1"/>
  <c r="R25" i="7"/>
  <c r="R18" i="9"/>
  <c r="S25" i="7" l="1"/>
  <c r="I10" i="3" s="1"/>
  <c r="S14" i="9"/>
  <c r="T14" i="9" s="1"/>
  <c r="M6" i="3"/>
  <c r="T26" i="6"/>
  <c r="U27" i="6" s="1"/>
  <c r="I6" i="3"/>
  <c r="U28" i="6" l="1"/>
  <c r="N6" i="3" s="1"/>
  <c r="T25" i="7"/>
  <c r="U26" i="7" s="1"/>
  <c r="U27" i="7" l="1"/>
  <c r="N10" i="3" s="1"/>
</calcChain>
</file>

<file path=xl/sharedStrings.xml><?xml version="1.0" encoding="utf-8"?>
<sst xmlns="http://schemas.openxmlformats.org/spreadsheetml/2006/main" count="553" uniqueCount="141">
  <si>
    <t>Растительная культура</t>
  </si>
  <si>
    <t>Плотность ФФП,</t>
  </si>
  <si>
    <t>мкмоль/м2с, не менее</t>
  </si>
  <si>
    <t>Томаты крупные</t>
  </si>
  <si>
    <t>Томаты черри, перец, ягоды</t>
  </si>
  <si>
    <t>Огурцы, бахчевые культуры</t>
  </si>
  <si>
    <t>Цветы садовые</t>
  </si>
  <si>
    <t>Цветы горшочные</t>
  </si>
  <si>
    <t>Грибы</t>
  </si>
  <si>
    <t>Таблица 2. Зависимость плотности ФФП от мощности светильника и высоты подвеса.               ФФП - плотность потока излучения  (мкмоль/м2с), S - площадь засветки (a х b, м) </t>
  </si>
  <si>
    <t>Высота установки светильника</t>
  </si>
  <si>
    <t>Зависимость</t>
  </si>
  <si>
    <t>0,3 м</t>
  </si>
  <si>
    <t>ФФП</t>
  </si>
  <si>
    <t>S</t>
  </si>
  <si>
    <t>0,4 м</t>
  </si>
  <si>
    <t>0,5 м</t>
  </si>
  <si>
    <t>0,6 м</t>
  </si>
  <si>
    <t>0,7 м</t>
  </si>
  <si>
    <t>0,8 м</t>
  </si>
  <si>
    <t>0,9 м</t>
  </si>
  <si>
    <t>1,0 м</t>
  </si>
  <si>
    <t>Культура</t>
  </si>
  <si>
    <t xml:space="preserve">Длина </t>
  </si>
  <si>
    <t>Ширина</t>
  </si>
  <si>
    <t>Исполнение</t>
  </si>
  <si>
    <t>ФФП (PPF), мкмоль/с</t>
  </si>
  <si>
    <t>Соотн. спектра DB/HR, %</t>
  </si>
  <si>
    <t>Площадь засветки, м</t>
  </si>
  <si>
    <t>Масса</t>
  </si>
  <si>
    <t>Цена</t>
  </si>
  <si>
    <t>23/77</t>
  </si>
  <si>
    <t>0.8×1.2</t>
  </si>
  <si>
    <t>1.6 кг</t>
  </si>
  <si>
    <t>SSO-220/48-05.2(FGO-MP) ФИТО-Урожай</t>
  </si>
  <si>
    <t>0.8×1.4</t>
  </si>
  <si>
    <t>2.5 кг</t>
  </si>
  <si>
    <t>SSO-220/56-05.2(FGO-MP) ФИТО-Урожай</t>
  </si>
  <si>
    <t>25/75</t>
  </si>
  <si>
    <t>0.8×1.6</t>
  </si>
  <si>
    <t>SSO-220/64-05.2(FGO-MP) ФИТО-Урожай</t>
  </si>
  <si>
    <t>0.8×1.7</t>
  </si>
  <si>
    <t>SSO-220/96-05.2(FGO-MP) ФИТО-Урожай</t>
  </si>
  <si>
    <t>0.8×2.0</t>
  </si>
  <si>
    <t>Скидка</t>
  </si>
  <si>
    <t>ширина</t>
  </si>
  <si>
    <t>длина</t>
  </si>
  <si>
    <t>Мощность Вт.</t>
  </si>
  <si>
    <t>SSO-220/</t>
  </si>
  <si>
    <t>05.2</t>
  </si>
  <si>
    <t xml:space="preserve">Урожай </t>
  </si>
  <si>
    <t>(FGO-MP)</t>
  </si>
  <si>
    <t>(FGO-VP)</t>
  </si>
  <si>
    <t>Старт</t>
  </si>
  <si>
    <t>Оптима</t>
  </si>
  <si>
    <t>(FGO-UP)</t>
  </si>
  <si>
    <t>расчет освещаемой площади от высоты подвеса  и угла линзы</t>
  </si>
  <si>
    <t>D=H*TNG(a/2) a= 2pi*угол/360</t>
  </si>
  <si>
    <t>угол</t>
  </si>
  <si>
    <t>высота</t>
  </si>
  <si>
    <t>площадь</t>
  </si>
  <si>
    <t>радиус пятна</t>
  </si>
  <si>
    <t>длина светильника (м)</t>
  </si>
  <si>
    <t>ширина пятна (м)</t>
  </si>
  <si>
    <t>Длина пятна (м)</t>
  </si>
  <si>
    <r>
      <t>площадь пятна (м</t>
    </r>
    <r>
      <rPr>
        <sz val="10"/>
        <rFont val="Arial"/>
        <family val="2"/>
        <charset val="1"/>
      </rPr>
      <t>²)</t>
    </r>
  </si>
  <si>
    <t>ФФП берем из паспорта светильника. Плотность PPFD=PPF/площадь пятна</t>
  </si>
  <si>
    <t xml:space="preserve">ФФП (PPF), мкмоль/с </t>
  </si>
  <si>
    <r>
      <t>плотность ФФП(PPFD),мкмоль/с-м</t>
    </r>
    <r>
      <rPr>
        <sz val="10"/>
        <rFont val="Arial"/>
        <family val="2"/>
        <charset val="1"/>
      </rPr>
      <t>²</t>
    </r>
  </si>
  <si>
    <t>Площадь, м2</t>
  </si>
  <si>
    <t>-</t>
  </si>
  <si>
    <t>SSO-220/24-05.2(FGO-VP) ФИТО-Старт</t>
  </si>
  <si>
    <t>42/58</t>
  </si>
  <si>
    <t>SSO-220/32-05.2(FGO-VP) ФИТО-Старт</t>
  </si>
  <si>
    <t>0.8×1.3</t>
  </si>
  <si>
    <t>2 кг</t>
  </si>
  <si>
    <t>SSO-220/48-05.2(FGO-VP) ФИТО-Старт</t>
  </si>
  <si>
    <t>SSO-220/56-05.2(FGO-VP) ФИТО-Старт</t>
  </si>
  <si>
    <t>SSO-220/96-05.2(FGO-VP) ФИТО-Старт</t>
  </si>
  <si>
    <t>SSO-220/32-05.2(FGO-UP) ФИТО-Оптима</t>
  </si>
  <si>
    <t>30/70</t>
  </si>
  <si>
    <t>SSO-220/48-05.2(FGO-UP) ФИТО-Оптима</t>
  </si>
  <si>
    <t>33/67</t>
  </si>
  <si>
    <t>SSO-220/56-05.2(FGO-UP) ФИТО-Оптима</t>
  </si>
  <si>
    <t>35/65</t>
  </si>
  <si>
    <t>SSO-220/64-05.2(FGO-UP) ФИТО-Оптима</t>
  </si>
  <si>
    <t>SSO-220/96-05.2(FGO-UP) ФИТО-Оптима</t>
  </si>
  <si>
    <t>(FGO-VP) ФИТО-Старт</t>
  </si>
  <si>
    <t>(FGO-MP) ФИТО-Урожай</t>
  </si>
  <si>
    <t>(FGO-UP) ФИТО-Оптима</t>
  </si>
  <si>
    <t>1,5 м</t>
  </si>
  <si>
    <t>2 м</t>
  </si>
  <si>
    <t>2,5 м</t>
  </si>
  <si>
    <t>3 м</t>
  </si>
  <si>
    <t>Дл</t>
  </si>
  <si>
    <t>Ш</t>
  </si>
  <si>
    <t>В</t>
  </si>
  <si>
    <t>Размеры пятна засветки в зависимости от высоты подвеса</t>
  </si>
  <si>
    <t>Габ. Размеры светильника</t>
  </si>
  <si>
    <t>Длина</t>
  </si>
  <si>
    <t>Ном. мощн., Вт.</t>
  </si>
  <si>
    <t>Высота подвеса, м</t>
  </si>
  <si>
    <t>Плотность ФФП</t>
  </si>
  <si>
    <t>Количество светильников</t>
  </si>
  <si>
    <t>Цена требуемых светильников</t>
  </si>
  <si>
    <t>стр</t>
  </si>
  <si>
    <t>столб</t>
  </si>
  <si>
    <t>Цена проекта</t>
  </si>
  <si>
    <t>кол-во</t>
  </si>
  <si>
    <t>высота подвеса</t>
  </si>
  <si>
    <t>Название светильника</t>
  </si>
  <si>
    <t>Рекомендуемая высота подвеса</t>
  </si>
  <si>
    <t>Рекомендуемое количество</t>
  </si>
  <si>
    <t>Свекла, морковь, редис, лук, чеснок, салаты, трава,специи</t>
  </si>
  <si>
    <t>Цена светильника</t>
  </si>
  <si>
    <t>Требуемое ФФП</t>
  </si>
  <si>
    <t>Требуемое количество светильников</t>
  </si>
  <si>
    <t>Выберите название светильника</t>
  </si>
  <si>
    <t>Исходные данные</t>
  </si>
  <si>
    <t>Запрошенная высота подвеса</t>
  </si>
  <si>
    <t>Расчтное предложение по запрапшиваемым данным</t>
  </si>
  <si>
    <t>SSO-220/64-05.2(FDO-3P) ФИТО-Универсал</t>
  </si>
  <si>
    <t>SSO-220/128-05.2(FDO-3P) ФИТО-Универсал</t>
  </si>
  <si>
    <t>цена требуемых светильников</t>
  </si>
  <si>
    <t>Урожай</t>
  </si>
  <si>
    <t xml:space="preserve">Старт </t>
  </si>
  <si>
    <t>Режим</t>
  </si>
  <si>
    <t>Расчетное предложение по запрашиваемым данным</t>
  </si>
  <si>
    <t>Предполагаемая высота установки светильника, м</t>
  </si>
  <si>
    <t>Калькулятор №2                     Оптимальное предложение по задаваемой высоте подвеса</t>
  </si>
  <si>
    <t>Изменяемые параметры с возможным выбором из выпадающего списка предложений</t>
  </si>
  <si>
    <t xml:space="preserve"> Расчетные параметры для различных проектов</t>
  </si>
  <si>
    <t>SSO-220/16-05.2(FGO-VP) ФИТО-Старт</t>
  </si>
  <si>
    <t>SSO-220/24-05.2(FGO-UP) ФИТО-Оптима</t>
  </si>
  <si>
    <t>Масса, кг</t>
  </si>
  <si>
    <t>Цена единичного проекта розница</t>
  </si>
  <si>
    <t>Калькулятор №2                          Выбора светильников по произвольным параметрам</t>
  </si>
  <si>
    <t>Требуемое ПФФП</t>
  </si>
  <si>
    <t>Минимальное  ПФФП для культуры</t>
  </si>
  <si>
    <t>Калькулятор                                                       Расчета светильников серии 3Р</t>
  </si>
  <si>
    <t>Калькулятор расчета фитосветильников серии СТАРТ, ОПТИМА, УРОЖАЙ                               Оптимальное предложение по цене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</si>
</sst>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.0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403E3D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403E3D"/>
      <name val="Arial"/>
      <family val="2"/>
      <charset val="204"/>
    </font>
    <font>
      <sz val="11"/>
      <color rgb="FF920E0D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1"/>
    </font>
    <font>
      <sz val="11"/>
      <color rgb="FF333333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6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4" borderId="7" xfId="0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3" fillId="2" borderId="32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2" borderId="7" xfId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3" borderId="7" xfId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4" borderId="0" xfId="0" applyFill="1" applyBorder="1" applyAlignment="1">
      <alignment wrapText="1"/>
    </xf>
    <xf numFmtId="0" fontId="5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0" fillId="5" borderId="10" xfId="0" applyFill="1" applyBorder="1"/>
    <xf numFmtId="0" fontId="2" fillId="2" borderId="11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0" fillId="0" borderId="38" xfId="0" applyBorder="1"/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5" fillId="3" borderId="44" xfId="0" applyFont="1" applyFill="1" applyBorder="1" applyAlignment="1">
      <alignment vertical="center" wrapText="1"/>
    </xf>
    <xf numFmtId="0" fontId="5" fillId="3" borderId="45" xfId="0" applyFont="1" applyFill="1" applyBorder="1" applyAlignment="1">
      <alignment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0" fontId="1" fillId="0" borderId="0" xfId="0" applyFont="1" applyBorder="1" applyAlignment="1"/>
    <xf numFmtId="0" fontId="5" fillId="3" borderId="36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Protection="1">
      <protection hidden="1"/>
    </xf>
    <xf numFmtId="0" fontId="0" fillId="4" borderId="17" xfId="0" applyNumberFormat="1" applyFill="1" applyBorder="1" applyAlignment="1" applyProtection="1">
      <alignment horizontal="center" vertical="center"/>
      <protection hidden="1"/>
    </xf>
    <xf numFmtId="0" fontId="0" fillId="4" borderId="17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right" vertical="center"/>
      <protection hidden="1"/>
    </xf>
    <xf numFmtId="0" fontId="0" fillId="7" borderId="0" xfId="0" applyFill="1" applyBorder="1" applyAlignment="1" applyProtection="1">
      <alignment horizontal="center" vertical="center"/>
      <protection hidden="1"/>
    </xf>
    <xf numFmtId="49" fontId="0" fillId="7" borderId="0" xfId="0" applyNumberForma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left" vertical="center"/>
      <protection hidden="1"/>
    </xf>
    <xf numFmtId="44" fontId="0" fillId="7" borderId="0" xfId="0" applyNumberFormat="1" applyFill="1" applyBorder="1" applyAlignment="1" applyProtection="1">
      <alignment horizontal="center" vertical="center"/>
      <protection hidden="1"/>
    </xf>
    <xf numFmtId="0" fontId="0" fillId="8" borderId="0" xfId="0" applyFill="1"/>
    <xf numFmtId="0" fontId="2" fillId="8" borderId="7" xfId="0" applyFont="1" applyFill="1" applyBorder="1" applyAlignment="1">
      <alignment horizontal="center" vertical="center" wrapText="1"/>
    </xf>
    <xf numFmtId="164" fontId="2" fillId="2" borderId="38" xfId="0" applyNumberFormat="1" applyFont="1" applyFill="1" applyBorder="1" applyAlignment="1">
      <alignment horizontal="center" vertical="center" wrapText="1"/>
    </xf>
    <xf numFmtId="0" fontId="1" fillId="0" borderId="66" xfId="0" applyFont="1" applyBorder="1" applyAlignment="1" applyProtection="1">
      <alignment horizontal="center" vertical="center" wrapText="1"/>
      <protection hidden="1"/>
    </xf>
    <xf numFmtId="0" fontId="1" fillId="0" borderId="75" xfId="0" applyFont="1" applyBorder="1" applyAlignment="1" applyProtection="1">
      <alignment horizontal="center" vertical="center" wrapText="1"/>
      <protection hidden="1"/>
    </xf>
    <xf numFmtId="0" fontId="0" fillId="0" borderId="71" xfId="0" applyBorder="1" applyProtection="1">
      <protection hidden="1"/>
    </xf>
    <xf numFmtId="0" fontId="0" fillId="0" borderId="73" xfId="0" applyFont="1" applyBorder="1" applyAlignment="1" applyProtection="1">
      <alignment horizontal="center" vertical="center" wrapText="1"/>
      <protection hidden="1"/>
    </xf>
    <xf numFmtId="0" fontId="0" fillId="0" borderId="66" xfId="0" applyFont="1" applyBorder="1" applyAlignment="1" applyProtection="1">
      <alignment horizontal="center" vertical="center"/>
      <protection hidden="1"/>
    </xf>
    <xf numFmtId="0" fontId="0" fillId="0" borderId="74" xfId="0" applyFont="1" applyBorder="1" applyAlignment="1" applyProtection="1">
      <alignment horizontal="center" vertical="center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74" xfId="0" applyFont="1" applyBorder="1" applyAlignment="1" applyProtection="1">
      <alignment horizontal="center" vertical="center" wrapText="1"/>
      <protection hidden="1"/>
    </xf>
    <xf numFmtId="0" fontId="0" fillId="6" borderId="69" xfId="0" applyFill="1" applyBorder="1" applyAlignment="1" applyProtection="1">
      <alignment horizontal="center" vertical="center"/>
      <protection locked="0"/>
    </xf>
    <xf numFmtId="0" fontId="0" fillId="6" borderId="70" xfId="0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/>
      <protection hidden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0" fillId="4" borderId="17" xfId="0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1" fillId="0" borderId="66" xfId="0" applyFont="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 wrapText="1"/>
      <protection hidden="1"/>
    </xf>
    <xf numFmtId="0" fontId="1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0" fillId="4" borderId="69" xfId="0" applyFill="1" applyBorder="1" applyAlignment="1" applyProtection="1">
      <alignment horizontal="right" vertical="center"/>
      <protection hidden="1"/>
    </xf>
    <xf numFmtId="0" fontId="0" fillId="4" borderId="70" xfId="0" applyFill="1" applyBorder="1" applyAlignment="1" applyProtection="1">
      <alignment horizontal="center" vertical="center"/>
      <protection hidden="1"/>
    </xf>
    <xf numFmtId="49" fontId="0" fillId="4" borderId="70" xfId="0" applyNumberFormat="1" applyFill="1" applyBorder="1" applyAlignment="1" applyProtection="1">
      <alignment horizontal="center" vertical="center"/>
      <protection hidden="1"/>
    </xf>
    <xf numFmtId="0" fontId="0" fillId="4" borderId="71" xfId="0" applyFill="1" applyBorder="1" applyAlignment="1" applyProtection="1">
      <alignment horizontal="left" vertical="center"/>
      <protection hidden="1"/>
    </xf>
    <xf numFmtId="0" fontId="0" fillId="6" borderId="7" xfId="0" applyFill="1" applyBorder="1" applyAlignment="1" applyProtection="1">
      <protection hidden="1"/>
    </xf>
    <xf numFmtId="0" fontId="0" fillId="4" borderId="7" xfId="0" applyFill="1" applyBorder="1" applyProtection="1">
      <protection hidden="1"/>
    </xf>
    <xf numFmtId="0" fontId="0" fillId="7" borderId="11" xfId="0" applyFill="1" applyBorder="1" applyAlignment="1" applyProtection="1">
      <alignment vertical="center"/>
      <protection hidden="1"/>
    </xf>
    <xf numFmtId="0" fontId="0" fillId="7" borderId="0" xfId="0" applyFill="1" applyBorder="1" applyAlignment="1" applyProtection="1">
      <alignment vertical="center"/>
      <protection hidden="1"/>
    </xf>
    <xf numFmtId="44" fontId="1" fillId="4" borderId="17" xfId="0" applyNumberFormat="1" applyFont="1" applyFill="1" applyBorder="1" applyAlignment="1" applyProtection="1">
      <alignment horizontal="left" vertical="center"/>
      <protection hidden="1"/>
    </xf>
    <xf numFmtId="0" fontId="10" fillId="0" borderId="71" xfId="0" applyFont="1" applyBorder="1" applyAlignment="1" applyProtection="1">
      <alignment vertical="center"/>
      <protection hidden="1"/>
    </xf>
    <xf numFmtId="44" fontId="1" fillId="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7" borderId="74" xfId="0" applyFill="1" applyBorder="1" applyAlignment="1" applyProtection="1">
      <alignment horizontal="right" vertical="center"/>
      <protection hidden="1"/>
    </xf>
    <xf numFmtId="0" fontId="0" fillId="7" borderId="74" xfId="0" applyFill="1" applyBorder="1" applyAlignment="1" applyProtection="1">
      <alignment horizontal="center" vertical="center"/>
      <protection hidden="1"/>
    </xf>
    <xf numFmtId="49" fontId="0" fillId="7" borderId="74" xfId="0" applyNumberFormat="1" applyFill="1" applyBorder="1" applyAlignment="1" applyProtection="1">
      <alignment horizontal="center" vertical="center"/>
      <protection hidden="1"/>
    </xf>
    <xf numFmtId="0" fontId="0" fillId="7" borderId="74" xfId="0" applyFill="1" applyBorder="1" applyAlignment="1" applyProtection="1">
      <alignment horizontal="left" vertical="center"/>
      <protection hidden="1"/>
    </xf>
    <xf numFmtId="0" fontId="1" fillId="7" borderId="74" xfId="0" applyFon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 vertical="center"/>
      <protection locked="0"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0" borderId="71" xfId="0" applyFont="1" applyBorder="1" applyAlignment="1" applyProtection="1">
      <alignment vertical="center" wrapText="1"/>
      <protection hidden="1"/>
    </xf>
    <xf numFmtId="0" fontId="1" fillId="0" borderId="71" xfId="0" applyFont="1" applyBorder="1" applyAlignment="1" applyProtection="1">
      <alignment vertical="center"/>
      <protection hidden="1"/>
    </xf>
    <xf numFmtId="0" fontId="1" fillId="7" borderId="11" xfId="0" applyFont="1" applyFill="1" applyBorder="1" applyAlignment="1" applyProtection="1">
      <alignment vertical="center"/>
      <protection hidden="1"/>
    </xf>
    <xf numFmtId="0" fontId="1" fillId="4" borderId="72" xfId="0" applyFont="1" applyFill="1" applyBorder="1" applyAlignment="1" applyProtection="1">
      <alignment horizontal="center" vertical="center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165" fontId="6" fillId="2" borderId="7" xfId="0" applyNumberFormat="1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165" fontId="0" fillId="0" borderId="7" xfId="0" applyNumberFormat="1" applyBorder="1"/>
    <xf numFmtId="44" fontId="0" fillId="0" borderId="0" xfId="0" applyNumberFormat="1" applyAlignment="1" applyProtection="1">
      <alignment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0" fillId="7" borderId="10" xfId="0" applyFill="1" applyBorder="1" applyAlignment="1" applyProtection="1">
      <alignment horizontal="center" vertical="center"/>
      <protection hidden="1"/>
    </xf>
    <xf numFmtId="0" fontId="0" fillId="7" borderId="33" xfId="0" applyFill="1" applyBorder="1" applyAlignment="1" applyProtection="1">
      <alignment horizontal="center" vertical="center"/>
      <protection hidden="1"/>
    </xf>
    <xf numFmtId="0" fontId="0" fillId="7" borderId="11" xfId="0" applyFill="1" applyBorder="1" applyAlignment="1" applyProtection="1">
      <alignment horizontal="center" vertical="center"/>
      <protection hidden="1"/>
    </xf>
    <xf numFmtId="0" fontId="0" fillId="6" borderId="69" xfId="0" applyFill="1" applyBorder="1" applyAlignment="1" applyProtection="1">
      <alignment horizontal="center" vertical="center"/>
      <protection locked="0"/>
    </xf>
    <xf numFmtId="0" fontId="0" fillId="6" borderId="70" xfId="0" applyFill="1" applyBorder="1" applyAlignment="1" applyProtection="1">
      <alignment horizontal="center" vertical="center"/>
      <protection locked="0"/>
    </xf>
    <xf numFmtId="0" fontId="0" fillId="6" borderId="71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10" fillId="0" borderId="69" xfId="0" applyFont="1" applyBorder="1" applyAlignment="1" applyProtection="1">
      <alignment horizontal="left" vertical="center"/>
      <protection hidden="1"/>
    </xf>
    <xf numFmtId="0" fontId="10" fillId="0" borderId="70" xfId="0" applyFont="1" applyBorder="1" applyAlignment="1" applyProtection="1">
      <alignment horizontal="left" vertical="center"/>
      <protection hidden="1"/>
    </xf>
    <xf numFmtId="0" fontId="10" fillId="0" borderId="71" xfId="0" applyFont="1" applyBorder="1" applyAlignment="1" applyProtection="1">
      <alignment horizontal="left" vertical="center"/>
      <protection hidden="1"/>
    </xf>
    <xf numFmtId="0" fontId="1" fillId="0" borderId="73" xfId="0" applyFont="1" applyBorder="1" applyAlignment="1" applyProtection="1">
      <alignment horizontal="center" vertical="center"/>
      <protection hidden="1"/>
    </xf>
    <xf numFmtId="0" fontId="1" fillId="0" borderId="74" xfId="0" applyFont="1" applyBorder="1" applyAlignment="1" applyProtection="1">
      <alignment horizontal="center" vertical="center"/>
      <protection hidden="1"/>
    </xf>
    <xf numFmtId="0" fontId="1" fillId="0" borderId="75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0" fillId="6" borderId="65" xfId="0" applyFill="1" applyBorder="1" applyAlignment="1" applyProtection="1">
      <alignment horizontal="center" vertical="center" wrapText="1"/>
      <protection locked="0"/>
    </xf>
    <xf numFmtId="0" fontId="0" fillId="6" borderId="76" xfId="0" applyFill="1" applyBorder="1" applyAlignment="1" applyProtection="1">
      <alignment horizontal="center" vertical="center" wrapText="1"/>
      <protection locked="0"/>
    </xf>
    <xf numFmtId="0" fontId="0" fillId="6" borderId="77" xfId="0" applyFill="1" applyBorder="1" applyAlignment="1" applyProtection="1">
      <alignment horizontal="center" vertical="center" wrapText="1"/>
      <protection locked="0"/>
    </xf>
    <xf numFmtId="0" fontId="1" fillId="0" borderId="69" xfId="0" applyFont="1" applyBorder="1" applyAlignment="1" applyProtection="1">
      <alignment horizontal="center" vertical="center" wrapText="1"/>
      <protection hidden="1"/>
    </xf>
    <xf numFmtId="0" fontId="1" fillId="0" borderId="71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69" xfId="0" applyFont="1" applyBorder="1" applyAlignment="1" applyProtection="1">
      <alignment horizontal="center" vertical="center"/>
      <protection hidden="1"/>
    </xf>
    <xf numFmtId="0" fontId="1" fillId="0" borderId="70" xfId="0" applyFont="1" applyBorder="1" applyAlignment="1" applyProtection="1">
      <alignment horizontal="center" vertical="center"/>
      <protection hidden="1"/>
    </xf>
    <xf numFmtId="0" fontId="1" fillId="0" borderId="71" xfId="0" applyFont="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6" borderId="66" xfId="0" applyFill="1" applyBorder="1" applyAlignment="1" applyProtection="1">
      <alignment horizontal="center" vertical="center"/>
      <protection locked="0"/>
    </xf>
    <xf numFmtId="0" fontId="0" fillId="6" borderId="68" xfId="0" applyFill="1" applyBorder="1" applyAlignment="1" applyProtection="1">
      <alignment horizontal="center" vertical="center"/>
      <protection locked="0"/>
    </xf>
    <xf numFmtId="0" fontId="0" fillId="6" borderId="67" xfId="0" applyFill="1" applyBorder="1" applyAlignment="1" applyProtection="1">
      <alignment horizontal="center" vertical="center"/>
      <protection locked="0"/>
    </xf>
    <xf numFmtId="0" fontId="0" fillId="6" borderId="66" xfId="0" applyFill="1" applyBorder="1" applyAlignment="1" applyProtection="1">
      <alignment horizontal="center" vertical="center" wrapText="1"/>
      <protection locked="0" hidden="1"/>
    </xf>
    <xf numFmtId="0" fontId="0" fillId="6" borderId="68" xfId="0" applyFill="1" applyBorder="1" applyAlignment="1" applyProtection="1">
      <alignment horizontal="center" vertical="center" wrapText="1"/>
      <protection locked="0" hidden="1"/>
    </xf>
    <xf numFmtId="0" fontId="0" fillId="6" borderId="67" xfId="0" applyFill="1" applyBorder="1" applyAlignment="1" applyProtection="1">
      <alignment horizontal="center" vertical="center" wrapText="1"/>
      <protection locked="0" hidden="1"/>
    </xf>
    <xf numFmtId="0" fontId="0" fillId="4" borderId="66" xfId="0" applyFill="1" applyBorder="1" applyAlignment="1" applyProtection="1">
      <alignment horizontal="center" vertical="center" wrapText="1"/>
      <protection hidden="1"/>
    </xf>
    <xf numFmtId="0" fontId="0" fillId="4" borderId="68" xfId="0" applyFill="1" applyBorder="1" applyAlignment="1" applyProtection="1">
      <alignment horizontal="center" vertical="center" wrapText="1"/>
      <protection hidden="1"/>
    </xf>
    <xf numFmtId="0" fontId="0" fillId="4" borderId="67" xfId="0" applyFill="1" applyBorder="1" applyAlignment="1" applyProtection="1">
      <alignment horizontal="center" vertical="center" wrapText="1"/>
      <protection hidden="1"/>
    </xf>
    <xf numFmtId="0" fontId="1" fillId="0" borderId="66" xfId="0" applyFont="1" applyBorder="1" applyAlignment="1" applyProtection="1">
      <alignment horizontal="center" vertical="center"/>
      <protection hidden="1"/>
    </xf>
    <xf numFmtId="0" fontId="1" fillId="0" borderId="67" xfId="0" applyFont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0" fillId="0" borderId="4" xfId="0" applyBorder="1"/>
    <xf numFmtId="0" fontId="0" fillId="0" borderId="0" xfId="0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5" fillId="3" borderId="43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1" fillId="0" borderId="4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1" fillId="0" borderId="78" xfId="0" applyFont="1" applyBorder="1" applyAlignment="1" applyProtection="1">
      <alignment horizontal="center" vertical="center" wrapText="1"/>
      <protection hidden="1"/>
    </xf>
    <xf numFmtId="0" fontId="1" fillId="4" borderId="65" xfId="0" applyFont="1" applyFill="1" applyBorder="1" applyAlignment="1" applyProtection="1">
      <alignment horizontal="center" vertical="center"/>
      <protection hidden="1"/>
    </xf>
    <xf numFmtId="0" fontId="10" fillId="0" borderId="69" xfId="0" applyFont="1" applyBorder="1" applyAlignment="1" applyProtection="1">
      <alignment horizontal="center" vertical="center"/>
      <protection hidden="1"/>
    </xf>
    <xf numFmtId="0" fontId="10" fillId="0" borderId="70" xfId="0" applyFont="1" applyBorder="1" applyAlignment="1" applyProtection="1">
      <alignment horizontal="center" vertical="center"/>
      <protection hidden="1"/>
    </xf>
    <xf numFmtId="0" fontId="10" fillId="0" borderId="71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vertical="center"/>
      <protection hidden="1"/>
    </xf>
    <xf numFmtId="0" fontId="1" fillId="0" borderId="79" xfId="0" applyFont="1" applyBorder="1" applyAlignment="1" applyProtection="1">
      <alignment horizontal="center" vertical="center" wrapText="1"/>
      <protection hidden="1"/>
    </xf>
    <xf numFmtId="0" fontId="1" fillId="4" borderId="77" xfId="0" applyFont="1" applyFill="1" applyBorder="1" applyAlignment="1" applyProtection="1">
      <alignment horizontal="center" vertical="center"/>
      <protection hidden="1"/>
    </xf>
    <xf numFmtId="0" fontId="11" fillId="0" borderId="71" xfId="0" applyFont="1" applyBorder="1" applyAlignment="1" applyProtection="1">
      <protection hidden="1"/>
    </xf>
    <xf numFmtId="0" fontId="11" fillId="0" borderId="69" xfId="0" applyFont="1" applyBorder="1" applyAlignment="1" applyProtection="1">
      <alignment horizontal="center"/>
      <protection hidden="1"/>
    </xf>
    <xf numFmtId="0" fontId="11" fillId="0" borderId="70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vertical="center" wrapText="1"/>
      <protection hidden="1"/>
    </xf>
    <xf numFmtId="0" fontId="11" fillId="0" borderId="71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zao-proton.ru/product/fitoled-svetilniki-serii-fgo-up?shopSku_id=73" TargetMode="External"/><Relationship Id="rId13" Type="http://schemas.openxmlformats.org/officeDocument/2006/relationships/hyperlink" Target="https://zao-proton.ru/product/fitoled-svetilniki-serii-fgo-mp?shopSku_id=81" TargetMode="External"/><Relationship Id="rId3" Type="http://schemas.openxmlformats.org/officeDocument/2006/relationships/hyperlink" Target="https://zao-proton.ru/product/fitoled-svetilniki-serii-fgo-vp?shopSku_id=66" TargetMode="External"/><Relationship Id="rId7" Type="http://schemas.openxmlformats.org/officeDocument/2006/relationships/hyperlink" Target="https://zao-proton.ru/product/fitoled-svetilniki-serii-fgo-up?shopSku_id=72" TargetMode="External"/><Relationship Id="rId12" Type="http://schemas.openxmlformats.org/officeDocument/2006/relationships/hyperlink" Target="https://zao-proton.ru/product/fitoled-svetilniki-serii-fgo-mp?shopSku_id=80" TargetMode="External"/><Relationship Id="rId2" Type="http://schemas.openxmlformats.org/officeDocument/2006/relationships/hyperlink" Target="https://zao-proton.ru/product/fitoled-svetilniki-serii-fgo-vp?shopSku_id=65" TargetMode="External"/><Relationship Id="rId1" Type="http://schemas.openxmlformats.org/officeDocument/2006/relationships/hyperlink" Target="https://zao-proton.ru/product/fitoled-svetilniki-serii-fgo-vp?shopSku_id=64" TargetMode="External"/><Relationship Id="rId6" Type="http://schemas.openxmlformats.org/officeDocument/2006/relationships/hyperlink" Target="https://zao-proton.ru/product/fitoled-svetilniki-serii-fgo-up?shopSku_id=70" TargetMode="External"/><Relationship Id="rId11" Type="http://schemas.openxmlformats.org/officeDocument/2006/relationships/hyperlink" Target="https://zao-proton.ru/product/fitoled-svetilniki-serii-fgo-mp?shopSku_id=79" TargetMode="External"/><Relationship Id="rId5" Type="http://schemas.openxmlformats.org/officeDocument/2006/relationships/hyperlink" Target="https://zao-proton.ru/product/fitoled-svetilniki-serii-fgo-vp?shopSku_id=68" TargetMode="External"/><Relationship Id="rId15" Type="http://schemas.openxmlformats.org/officeDocument/2006/relationships/hyperlink" Target="https://zao-proton.ru/product/fitoled-svetilniki-serii-fgo-up?shopSku_id=70" TargetMode="External"/><Relationship Id="rId10" Type="http://schemas.openxmlformats.org/officeDocument/2006/relationships/hyperlink" Target="https://zao-proton.ru/product/fitoled-svetilniki-serii-fgo-up?shopSku_id=75" TargetMode="External"/><Relationship Id="rId4" Type="http://schemas.openxmlformats.org/officeDocument/2006/relationships/hyperlink" Target="https://zao-proton.ru/product/fitoled-svetilniki-serii-fgo-vp?shopSku_id=67" TargetMode="External"/><Relationship Id="rId9" Type="http://schemas.openxmlformats.org/officeDocument/2006/relationships/hyperlink" Target="https://zao-proton.ru/product/fitoled-svetilniki-serii-fgo-up?shopSku_id=74" TargetMode="External"/><Relationship Id="rId14" Type="http://schemas.openxmlformats.org/officeDocument/2006/relationships/hyperlink" Target="https://zao-proton.ru/product/fitoled-svetilniki-serii-fgo-vp?shopSku_id=64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zao-proton.ru/product/fitoled-svetilniki-serii-fgo-up?shopSku_id=73" TargetMode="External"/><Relationship Id="rId13" Type="http://schemas.openxmlformats.org/officeDocument/2006/relationships/hyperlink" Target="https://zao-proton.ru/product/fitoled-svetilniki-serii-fgo-mp?shopSku_id=81" TargetMode="External"/><Relationship Id="rId3" Type="http://schemas.openxmlformats.org/officeDocument/2006/relationships/hyperlink" Target="https://zao-proton.ru/product/fitoled-svetilniki-serii-fgo-vp?shopSku_id=66" TargetMode="External"/><Relationship Id="rId7" Type="http://schemas.openxmlformats.org/officeDocument/2006/relationships/hyperlink" Target="https://zao-proton.ru/product/fitoled-svetilniki-serii-fgo-up?shopSku_id=72" TargetMode="External"/><Relationship Id="rId12" Type="http://schemas.openxmlformats.org/officeDocument/2006/relationships/hyperlink" Target="https://zao-proton.ru/product/fitoled-svetilniki-serii-fgo-mp?shopSku_id=80" TargetMode="External"/><Relationship Id="rId2" Type="http://schemas.openxmlformats.org/officeDocument/2006/relationships/hyperlink" Target="https://zao-proton.ru/product/fitoled-svetilniki-serii-fgo-vp?shopSku_id=65" TargetMode="External"/><Relationship Id="rId1" Type="http://schemas.openxmlformats.org/officeDocument/2006/relationships/hyperlink" Target="https://zao-proton.ru/product/fitoled-svetilniki-serii-fgo-vp?shopSku_id=64" TargetMode="External"/><Relationship Id="rId6" Type="http://schemas.openxmlformats.org/officeDocument/2006/relationships/hyperlink" Target="https://zao-proton.ru/product/fitoled-svetilniki-serii-fgo-up?shopSku_id=70" TargetMode="External"/><Relationship Id="rId11" Type="http://schemas.openxmlformats.org/officeDocument/2006/relationships/hyperlink" Target="https://zao-proton.ru/product/fitoled-svetilniki-serii-fgo-mp?shopSku_id=79" TargetMode="External"/><Relationship Id="rId5" Type="http://schemas.openxmlformats.org/officeDocument/2006/relationships/hyperlink" Target="https://zao-proton.ru/product/fitoled-svetilniki-serii-fgo-vp?shopSku_id=68" TargetMode="External"/><Relationship Id="rId15" Type="http://schemas.openxmlformats.org/officeDocument/2006/relationships/hyperlink" Target="https://zao-proton.ru/product/fitoled-svetilniki-serii-fgo-up?shopSku_id=70" TargetMode="External"/><Relationship Id="rId10" Type="http://schemas.openxmlformats.org/officeDocument/2006/relationships/hyperlink" Target="https://zao-proton.ru/product/fitoled-svetilniki-serii-fgo-up?shopSku_id=75" TargetMode="External"/><Relationship Id="rId4" Type="http://schemas.openxmlformats.org/officeDocument/2006/relationships/hyperlink" Target="https://zao-proton.ru/product/fitoled-svetilniki-serii-fgo-vp?shopSku_id=67" TargetMode="External"/><Relationship Id="rId9" Type="http://schemas.openxmlformats.org/officeDocument/2006/relationships/hyperlink" Target="https://zao-proton.ru/product/fitoled-svetilniki-serii-fgo-up?shopSku_id=74" TargetMode="External"/><Relationship Id="rId14" Type="http://schemas.openxmlformats.org/officeDocument/2006/relationships/hyperlink" Target="https://zao-proton.ru/product/fitoled-svetilniki-serii-fgo-vp?shopSku_id=64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zao-proton.ru/product/fitoled-svetilniki-serii-fgo-up?shopSku_id=72" TargetMode="External"/><Relationship Id="rId13" Type="http://schemas.openxmlformats.org/officeDocument/2006/relationships/hyperlink" Target="https://zao-proton.ru/product/fitoled-svetilniki-serii-fgo-mp?shopSku_id=79" TargetMode="External"/><Relationship Id="rId3" Type="http://schemas.openxmlformats.org/officeDocument/2006/relationships/hyperlink" Target="https://zao-proton.ru/product/fitoled-svetilniki-serii-fgo-vp?shopSku_id=66" TargetMode="External"/><Relationship Id="rId7" Type="http://schemas.openxmlformats.org/officeDocument/2006/relationships/hyperlink" Target="https://zao-proton.ru/product/fitoled-svetilniki-serii-fgo-up?shopSku_id=70" TargetMode="External"/><Relationship Id="rId12" Type="http://schemas.openxmlformats.org/officeDocument/2006/relationships/hyperlink" Target="https://zao-proton.ru/product/fitoled-svetilniki-serii-fgo-up?shopSku_id=70" TargetMode="External"/><Relationship Id="rId2" Type="http://schemas.openxmlformats.org/officeDocument/2006/relationships/hyperlink" Target="https://zao-proton.ru/product/fitoled-svetilniki-serii-fgo-vp?shopSku_id=65" TargetMode="External"/><Relationship Id="rId1" Type="http://schemas.openxmlformats.org/officeDocument/2006/relationships/hyperlink" Target="https://zao-proton.ru/product/fitoled-svetilniki-serii-fgo-vp?shopSku_id=64" TargetMode="External"/><Relationship Id="rId6" Type="http://schemas.openxmlformats.org/officeDocument/2006/relationships/hyperlink" Target="https://zao-proton.ru/product/fitoled-svetilniki-serii-fgo-vp?shopSku_id=64" TargetMode="External"/><Relationship Id="rId11" Type="http://schemas.openxmlformats.org/officeDocument/2006/relationships/hyperlink" Target="https://zao-proton.ru/product/fitoled-svetilniki-serii-fgo-up?shopSku_id=75" TargetMode="External"/><Relationship Id="rId5" Type="http://schemas.openxmlformats.org/officeDocument/2006/relationships/hyperlink" Target="https://zao-proton.ru/product/fitoled-svetilniki-serii-fgo-vp?shopSku_id=68" TargetMode="External"/><Relationship Id="rId15" Type="http://schemas.openxmlformats.org/officeDocument/2006/relationships/hyperlink" Target="https://zao-proton.ru/product/fitoled-svetilniki-serii-fgo-mp?shopSku_id=81" TargetMode="External"/><Relationship Id="rId10" Type="http://schemas.openxmlformats.org/officeDocument/2006/relationships/hyperlink" Target="https://zao-proton.ru/product/fitoled-svetilniki-serii-fgo-up?shopSku_id=74" TargetMode="External"/><Relationship Id="rId4" Type="http://schemas.openxmlformats.org/officeDocument/2006/relationships/hyperlink" Target="https://zao-proton.ru/product/fitoled-svetilniki-serii-fgo-vp?shopSku_id=67" TargetMode="External"/><Relationship Id="rId9" Type="http://schemas.openxmlformats.org/officeDocument/2006/relationships/hyperlink" Target="https://zao-proton.ru/product/fitoled-svetilniki-serii-fgo-up?shopSku_id=73" TargetMode="External"/><Relationship Id="rId14" Type="http://schemas.openxmlformats.org/officeDocument/2006/relationships/hyperlink" Target="https://zao-proton.ru/product/fitoled-svetilniki-serii-fgo-mp?shopSku_id=80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zao-proton.ru/product/fitoled-svetilniki-serii-fgo-vp?shopSku_id=64" TargetMode="External"/><Relationship Id="rId3" Type="http://schemas.openxmlformats.org/officeDocument/2006/relationships/hyperlink" Target="https://zao-proton.ru/product/fitoled-svetilniki-serii-fgo-vp?shopSku_id=64" TargetMode="External"/><Relationship Id="rId7" Type="http://schemas.openxmlformats.org/officeDocument/2006/relationships/hyperlink" Target="https://zao-proton.ru/product/fitoled-svetilniki-serii-fgo-vp?shopSku_id=64" TargetMode="External"/><Relationship Id="rId2" Type="http://schemas.openxmlformats.org/officeDocument/2006/relationships/hyperlink" Target="https://zao-proton.ru/product/fitoled-svetilniki-serii-fgo-vp?shopSku_id=64" TargetMode="External"/><Relationship Id="rId1" Type="http://schemas.openxmlformats.org/officeDocument/2006/relationships/hyperlink" Target="https://zao-proton.ru/product/fitoled-svetilniki-serii-fgo-vp?shopSku_id=64" TargetMode="External"/><Relationship Id="rId6" Type="http://schemas.openxmlformats.org/officeDocument/2006/relationships/hyperlink" Target="https://zao-proton.ru/product/fitoled-svetilniki-serii-fgo-vp?shopSku_id=64" TargetMode="External"/><Relationship Id="rId5" Type="http://schemas.openxmlformats.org/officeDocument/2006/relationships/hyperlink" Target="https://zao-proton.ru/product/fitoled-svetilniki-serii-fgo-vp?shopSku_id=64" TargetMode="External"/><Relationship Id="rId10" Type="http://schemas.openxmlformats.org/officeDocument/2006/relationships/hyperlink" Target="https://zao-proton.ru/product/fitoled-svetilniki-serii-fgo-vp?shopSku_id=64" TargetMode="External"/><Relationship Id="rId4" Type="http://schemas.openxmlformats.org/officeDocument/2006/relationships/hyperlink" Target="https://zao-proton.ru/product/fitoled-svetilniki-serii-fgo-vp?shopSku_id=64" TargetMode="External"/><Relationship Id="rId9" Type="http://schemas.openxmlformats.org/officeDocument/2006/relationships/hyperlink" Target="https://zao-proton.ru/product/fitoled-svetilniki-serii-fgo-vp?shopSku_id=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16"/>
  <sheetViews>
    <sheetView workbookViewId="0">
      <selection activeCell="F23" sqref="F23"/>
    </sheetView>
  </sheetViews>
  <sheetFormatPr defaultRowHeight="15" x14ac:dyDescent="0.25"/>
  <cols>
    <col min="1" max="2" width="9.140625" style="93"/>
    <col min="3" max="3" width="42.42578125" style="93" customWidth="1"/>
    <col min="4" max="4" width="14" style="93" customWidth="1"/>
    <col min="5" max="5" width="12.42578125" style="93" customWidth="1"/>
    <col min="6" max="6" width="16.28515625" style="93" customWidth="1"/>
    <col min="7" max="16384" width="9.140625" style="93"/>
  </cols>
  <sheetData>
    <row r="8" spans="2:6" ht="28.5" x14ac:dyDescent="0.25">
      <c r="C8" s="168" t="s">
        <v>0</v>
      </c>
      <c r="D8" s="103" t="s">
        <v>1</v>
      </c>
    </row>
    <row r="9" spans="2:6" ht="43.5" customHeight="1" x14ac:dyDescent="0.25">
      <c r="C9" s="169"/>
      <c r="D9" s="104" t="s">
        <v>2</v>
      </c>
    </row>
    <row r="10" spans="2:6" ht="29.25" customHeight="1" x14ac:dyDescent="0.25">
      <c r="B10" s="93">
        <v>1</v>
      </c>
      <c r="C10" s="100" t="s">
        <v>3</v>
      </c>
      <c r="D10" s="100">
        <v>185</v>
      </c>
      <c r="E10" s="93" t="s">
        <v>50</v>
      </c>
      <c r="F10" s="93" t="s">
        <v>51</v>
      </c>
    </row>
    <row r="11" spans="2:6" ht="29.25" customHeight="1" x14ac:dyDescent="0.25">
      <c r="B11" s="93">
        <v>2</v>
      </c>
      <c r="C11" s="100" t="s">
        <v>4</v>
      </c>
      <c r="D11" s="100">
        <v>170</v>
      </c>
      <c r="E11" s="93" t="s">
        <v>50</v>
      </c>
      <c r="F11" s="93" t="s">
        <v>51</v>
      </c>
    </row>
    <row r="12" spans="2:6" ht="29.25" customHeight="1" x14ac:dyDescent="0.25">
      <c r="B12" s="93">
        <v>3</v>
      </c>
      <c r="C12" s="100" t="s">
        <v>5</v>
      </c>
      <c r="D12" s="100">
        <v>150</v>
      </c>
      <c r="E12" s="93" t="s">
        <v>50</v>
      </c>
      <c r="F12" s="93" t="s">
        <v>51</v>
      </c>
    </row>
    <row r="13" spans="2:6" ht="29.25" customHeight="1" x14ac:dyDescent="0.25">
      <c r="B13" s="93">
        <v>4</v>
      </c>
      <c r="C13" s="100" t="s">
        <v>113</v>
      </c>
      <c r="D13" s="100">
        <v>70</v>
      </c>
      <c r="E13" s="93" t="s">
        <v>53</v>
      </c>
      <c r="F13" s="93" t="s">
        <v>52</v>
      </c>
    </row>
    <row r="14" spans="2:6" ht="29.25" customHeight="1" x14ac:dyDescent="0.25">
      <c r="B14" s="93">
        <v>5</v>
      </c>
      <c r="C14" s="100" t="s">
        <v>6</v>
      </c>
      <c r="D14" s="100">
        <v>90</v>
      </c>
      <c r="E14" s="93" t="s">
        <v>54</v>
      </c>
      <c r="F14" s="93" t="s">
        <v>55</v>
      </c>
    </row>
    <row r="15" spans="2:6" ht="29.25" customHeight="1" x14ac:dyDescent="0.25">
      <c r="B15" s="93">
        <v>6</v>
      </c>
      <c r="C15" s="100" t="s">
        <v>7</v>
      </c>
      <c r="D15" s="100">
        <v>40</v>
      </c>
      <c r="E15" s="93" t="s">
        <v>54</v>
      </c>
      <c r="F15" s="93" t="s">
        <v>55</v>
      </c>
    </row>
    <row r="16" spans="2:6" ht="29.25" customHeight="1" x14ac:dyDescent="0.25">
      <c r="B16" s="93">
        <v>7</v>
      </c>
      <c r="C16" s="100" t="s">
        <v>8</v>
      </c>
      <c r="D16" s="100">
        <v>50</v>
      </c>
      <c r="E16" s="93" t="s">
        <v>53</v>
      </c>
      <c r="F16" s="93" t="s">
        <v>52</v>
      </c>
    </row>
  </sheetData>
  <mergeCells count="1">
    <mergeCell ref="C8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E35"/>
  <sheetViews>
    <sheetView tabSelected="1" topLeftCell="A3" zoomScale="90" zoomScaleNormal="90" workbookViewId="0">
      <selection activeCell="C6" sqref="C6"/>
    </sheetView>
  </sheetViews>
  <sheetFormatPr defaultRowHeight="15" outlineLevelCol="1" x14ac:dyDescent="0.25"/>
  <cols>
    <col min="1" max="2" width="3.42578125" style="93" customWidth="1"/>
    <col min="3" max="3" width="37.42578125" style="93" customWidth="1"/>
    <col min="4" max="4" width="14.7109375" style="93" customWidth="1" outlineLevel="1"/>
    <col min="5" max="5" width="10.5703125" style="93" customWidth="1" outlineLevel="1"/>
    <col min="6" max="6" width="9.5703125" style="93" customWidth="1"/>
    <col min="7" max="7" width="18" style="93" customWidth="1"/>
    <col min="8" max="8" width="10.140625" style="93" customWidth="1"/>
    <col min="9" max="9" width="3.28515625" style="93" customWidth="1"/>
    <col min="10" max="10" width="1.28515625" style="93" customWidth="1"/>
    <col min="11" max="11" width="4" style="93" customWidth="1"/>
    <col min="12" max="12" width="22.7109375" style="93" customWidth="1"/>
    <col min="13" max="13" width="13.140625" style="93" customWidth="1"/>
    <col min="14" max="14" width="19.5703125" style="93" customWidth="1"/>
    <col min="15" max="15" width="17" style="93" hidden="1" customWidth="1"/>
    <col min="16" max="16" width="12" style="93" hidden="1" customWidth="1"/>
    <col min="17" max="17" width="9.140625" style="93" customWidth="1"/>
    <col min="18" max="16384" width="9.140625" style="93"/>
  </cols>
  <sheetData>
    <row r="1" spans="3:17" hidden="1" x14ac:dyDescent="0.25"/>
    <row r="2" spans="3:17" hidden="1" x14ac:dyDescent="0.25"/>
    <row r="3" spans="3:17" ht="15.75" thickBot="1" x14ac:dyDescent="0.3"/>
    <row r="4" spans="3:17" ht="21.75" customHeight="1" thickBot="1" x14ac:dyDescent="0.3">
      <c r="C4" s="179" t="s">
        <v>140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1"/>
      <c r="O4" s="257"/>
      <c r="P4" s="149"/>
    </row>
    <row r="5" spans="3:17" ht="45" customHeight="1" thickBot="1" x14ac:dyDescent="0.3">
      <c r="C5" s="139" t="s">
        <v>22</v>
      </c>
      <c r="D5" s="137" t="s">
        <v>138</v>
      </c>
      <c r="E5" s="139" t="s">
        <v>23</v>
      </c>
      <c r="F5" s="139" t="s">
        <v>24</v>
      </c>
      <c r="G5" s="137" t="s">
        <v>69</v>
      </c>
      <c r="H5" s="193" t="s">
        <v>110</v>
      </c>
      <c r="I5" s="194"/>
      <c r="J5" s="194"/>
      <c r="K5" s="194"/>
      <c r="L5" s="195"/>
      <c r="M5" s="138" t="s">
        <v>111</v>
      </c>
      <c r="N5" s="138" t="s">
        <v>112</v>
      </c>
      <c r="O5" s="138" t="s">
        <v>107</v>
      </c>
      <c r="P5" s="136" t="s">
        <v>44</v>
      </c>
    </row>
    <row r="6" spans="3:17" ht="72" customHeight="1" thickBot="1" x14ac:dyDescent="0.3">
      <c r="C6" s="85" t="s">
        <v>113</v>
      </c>
      <c r="D6" s="94">
        <f>SUMIF(C27:C33,C6,D27:D33)</f>
        <v>70</v>
      </c>
      <c r="E6" s="84">
        <v>2</v>
      </c>
      <c r="F6" s="84">
        <v>0.5</v>
      </c>
      <c r="G6" s="95">
        <f>F6*E6</f>
        <v>1</v>
      </c>
      <c r="H6" s="140" t="s">
        <v>48</v>
      </c>
      <c r="I6" s="141">
        <f ca="1">'Лист 2'!S26</f>
        <v>24</v>
      </c>
      <c r="J6" s="141" t="s">
        <v>70</v>
      </c>
      <c r="K6" s="142" t="s">
        <v>49</v>
      </c>
      <c r="L6" s="143" t="str">
        <f ca="1">INDIRECT(ADDRESS(MATCH(C6,C27:C33,0)+28,6))</f>
        <v>(FGO-UP) ФИТО-Оптима</v>
      </c>
      <c r="M6" s="124">
        <f ca="1">'Лист 2'!S27</f>
        <v>0.3</v>
      </c>
      <c r="N6" s="124">
        <f ca="1">'Лист 2'!U28</f>
        <v>2</v>
      </c>
      <c r="O6" s="148">
        <f ca="1">IF('Лист 2'!U26&lt;20000,'Лист 2'!U26,0)+IF(AND(20000&lt;'Лист 2'!U26,'Лист 2'!U26&lt;100000),'Лист 2'!U26-10%*'Лист 2'!U26,0)+IF(AND(100000&lt;'Лист 2'!U26,'Лист 2'!U26&lt;250000),'Лист 2'!U26-25%*'Лист 2'!U26,0)+IF(AND(250000&lt;'Лист 2'!U26,'Лист 2'!U26&lt;500000),'Лист 2'!U26-40%*'Лист 2'!U26,0)+IF(500000&lt;'Лист 2'!U26,'Лист 2'!U26-50%*'Лист 2'!U26,0)</f>
        <v>8350</v>
      </c>
      <c r="P6" s="96"/>
    </row>
    <row r="7" spans="3:17" ht="33" hidden="1" customHeight="1" thickBot="1" x14ac:dyDescent="0.3"/>
    <row r="8" spans="3:17" ht="24" hidden="1" customHeight="1" thickBot="1" x14ac:dyDescent="0.3">
      <c r="C8" s="179" t="s">
        <v>129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1"/>
      <c r="P8" s="149"/>
    </row>
    <row r="9" spans="3:17" ht="47.25" hidden="1" customHeight="1" thickBot="1" x14ac:dyDescent="0.3">
      <c r="C9" s="176" t="s">
        <v>101</v>
      </c>
      <c r="D9" s="177"/>
      <c r="E9" s="177"/>
      <c r="F9" s="177"/>
      <c r="G9" s="178"/>
      <c r="H9" s="185" t="s">
        <v>110</v>
      </c>
      <c r="I9" s="186"/>
      <c r="J9" s="186"/>
      <c r="K9" s="186"/>
      <c r="L9" s="187"/>
      <c r="M9" s="138" t="s">
        <v>119</v>
      </c>
      <c r="N9" s="138" t="s">
        <v>112</v>
      </c>
      <c r="O9" s="138" t="s">
        <v>107</v>
      </c>
      <c r="P9" s="158" t="s">
        <v>44</v>
      </c>
    </row>
    <row r="10" spans="3:17" ht="59.25" hidden="1" customHeight="1" thickBot="1" x14ac:dyDescent="0.3">
      <c r="C10" s="173">
        <v>0.5</v>
      </c>
      <c r="D10" s="174"/>
      <c r="E10" s="174"/>
      <c r="F10" s="174"/>
      <c r="G10" s="175"/>
      <c r="H10" s="140" t="s">
        <v>48</v>
      </c>
      <c r="I10" s="141">
        <f ca="1">'Лист 3'!S25</f>
        <v>32</v>
      </c>
      <c r="J10" s="141" t="s">
        <v>70</v>
      </c>
      <c r="K10" s="142" t="s">
        <v>49</v>
      </c>
      <c r="L10" s="143" t="str">
        <f ca="1">INDIRECT(ADDRESS(MATCH(C6,C27:C33,0)+28,6))</f>
        <v>(FGO-UP) ФИТО-Оптима</v>
      </c>
      <c r="M10" s="124">
        <f>C10</f>
        <v>0.5</v>
      </c>
      <c r="N10" s="124">
        <f ca="1">'Лист 3'!U27</f>
        <v>2</v>
      </c>
      <c r="O10" s="148">
        <f ca="1">IF('Лист 3'!U25&lt;20000,'Лист 3'!U25,0)+IF(AND(20000&lt;'Лист 3'!U25,'Лист 3'!U25&lt;100000),'Лист 3'!U25-10%*'Лист 3'!U25,0)+IF(AND(100000&lt;'Лист 3'!U25,'Лист 3'!U25&lt;250000),'Лист 3'!U25-25%*'Лист 3'!U25,0)+IF(AND(250000&lt;'Лист 3'!U25,'Лист 3'!U25&lt;500000),'Лист 3'!U25-40%*'Лист 3'!U25,0)+IF(500000&lt;'Лист 3'!U25,'Лист 3'!U25-50%*'Лист 3'!U25,0)</f>
        <v>9878</v>
      </c>
      <c r="P10" s="96"/>
    </row>
    <row r="11" spans="3:17" ht="39" hidden="1" customHeight="1" thickBot="1" x14ac:dyDescent="0.3">
      <c r="C11" s="97"/>
      <c r="G11" s="157"/>
      <c r="H11" s="152"/>
      <c r="I11" s="153"/>
      <c r="J11" s="153"/>
      <c r="K11" s="154"/>
      <c r="L11" s="155"/>
      <c r="M11" s="153"/>
      <c r="N11" s="156"/>
      <c r="O11" s="150"/>
      <c r="P11" s="153"/>
      <c r="Q11" s="151"/>
    </row>
    <row r="12" spans="3:17" ht="21.75" hidden="1" customHeight="1" thickBot="1" x14ac:dyDescent="0.3">
      <c r="C12" s="254" t="s">
        <v>136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6"/>
      <c r="O12" s="257"/>
      <c r="P12" s="149"/>
    </row>
    <row r="13" spans="3:17" ht="31.5" hidden="1" customHeight="1" thickBot="1" x14ac:dyDescent="0.3">
      <c r="C13" s="196" t="s">
        <v>118</v>
      </c>
      <c r="D13" s="197"/>
      <c r="E13" s="197"/>
      <c r="F13" s="197"/>
      <c r="G13" s="198"/>
      <c r="H13" s="182" t="s">
        <v>117</v>
      </c>
      <c r="I13" s="183"/>
      <c r="J13" s="183"/>
      <c r="K13" s="183"/>
      <c r="L13" s="184"/>
      <c r="M13" s="191" t="s">
        <v>127</v>
      </c>
      <c r="N13" s="192"/>
      <c r="O13" s="159"/>
      <c r="P13" s="159"/>
    </row>
    <row r="14" spans="3:17" ht="51" hidden="1" customHeight="1" thickBot="1" x14ac:dyDescent="0.3">
      <c r="C14" s="117" t="s">
        <v>137</v>
      </c>
      <c r="D14" s="118" t="s">
        <v>23</v>
      </c>
      <c r="E14" s="119" t="s">
        <v>24</v>
      </c>
      <c r="F14" s="120" t="s">
        <v>69</v>
      </c>
      <c r="G14" s="121" t="s">
        <v>128</v>
      </c>
      <c r="H14" s="185"/>
      <c r="I14" s="186"/>
      <c r="J14" s="186"/>
      <c r="K14" s="186"/>
      <c r="L14" s="187"/>
      <c r="M14" s="252" t="s">
        <v>116</v>
      </c>
      <c r="N14" s="258"/>
      <c r="O14" s="114" t="s">
        <v>107</v>
      </c>
      <c r="P14" s="115" t="s">
        <v>44</v>
      </c>
    </row>
    <row r="15" spans="3:17" ht="38.25" hidden="1" customHeight="1" thickBot="1" x14ac:dyDescent="0.3">
      <c r="C15" s="122">
        <v>10</v>
      </c>
      <c r="D15" s="95">
        <f>E6</f>
        <v>2</v>
      </c>
      <c r="E15" s="141">
        <f>F6</f>
        <v>0.5</v>
      </c>
      <c r="F15" s="133">
        <f>D15*E15</f>
        <v>1</v>
      </c>
      <c r="G15" s="123">
        <v>0.6</v>
      </c>
      <c r="H15" s="188" t="s">
        <v>71</v>
      </c>
      <c r="I15" s="189"/>
      <c r="J15" s="189"/>
      <c r="K15" s="189"/>
      <c r="L15" s="190"/>
      <c r="M15" s="253">
        <f>IF(H15='Лист 4'!B30,'Лист 4'!K30,0)+IF(H15='Лист 4'!B31,'Лист 4'!K31,0)+IF(H15='Лист 4'!B32,'Лист 4'!K32,0)+IF(H15='Лист 4'!B33,'Лист 4'!K33,0)+IF(H15='Лист 4'!B34,'Лист 4'!K34,0)+IF(H15='Лист 4'!B35,'Лист 4'!K35,0)+IF(H15='Лист 4'!B36,'Лист 4'!K36,0)+IF(H15='Лист 4'!B37,'Лист 4'!K37,0)+IF(H15='Лист 4'!B38,'Лист 4'!K38,0)+IF(H15='Лист 4'!B39,'Лист 4'!K39,0)+IF(H15='Лист 4'!B40,'Лист 4'!K40,0)+IF(H15='Лист 4'!B41,'Лист 4'!K41,0)+IF(H15='Лист 4'!B42,'Лист 4'!K42,0)+IF(H15='Лист 4'!B43,'Лист 4'!K43,0)+IF(H15='Лист 4'!B44,'Лист 4'!K44,0)+IF(H15='Лист 4'!B45,'Лист 4'!K45,0)</f>
        <v>2</v>
      </c>
      <c r="N15" s="259"/>
      <c r="O15" s="148">
        <f>IF(O28&lt;20000,O28,0)+IF(AND(20000&lt;O28,O28&lt;100000),O28-10%*O28,0)+IF(AND(100000&lt;O28,O28&lt;250000),O28-25%*O28,0)+IF(AND(250000&lt;O28,O28&lt;500000),O28-40%*O28,0)+IF(500000&lt;O28,O28-50%*O28,0)</f>
        <v>8350</v>
      </c>
      <c r="P15" s="116"/>
    </row>
    <row r="16" spans="3:17" ht="21.75" hidden="1" customHeight="1" x14ac:dyDescent="0.25">
      <c r="C16" s="97"/>
      <c r="H16" s="106"/>
      <c r="I16" s="107"/>
      <c r="J16" s="107"/>
      <c r="K16" s="108"/>
      <c r="L16" s="109"/>
      <c r="M16" s="107"/>
      <c r="N16" s="107"/>
      <c r="O16" s="110"/>
      <c r="P16" s="105"/>
    </row>
    <row r="17" spans="2:31" ht="21.75" customHeight="1" x14ac:dyDescent="0.25">
      <c r="C17" s="97"/>
      <c r="H17" s="106"/>
      <c r="I17" s="107"/>
      <c r="J17" s="107"/>
      <c r="K17" s="108"/>
      <c r="L17" s="109"/>
      <c r="M17" s="107"/>
      <c r="N17" s="107"/>
      <c r="O17" s="110"/>
      <c r="P17" s="105"/>
    </row>
    <row r="18" spans="2:31" ht="21.75" customHeight="1" x14ac:dyDescent="0.25">
      <c r="C18" s="144"/>
      <c r="D18" s="170" t="s">
        <v>130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2"/>
      <c r="O18" s="146"/>
      <c r="P18" s="146"/>
      <c r="Q18" s="147"/>
      <c r="R18" s="97"/>
      <c r="W18" s="106"/>
      <c r="X18" s="107"/>
      <c r="Y18" s="107"/>
      <c r="Z18" s="108"/>
      <c r="AA18" s="109"/>
      <c r="AB18" s="107"/>
      <c r="AC18" s="107"/>
      <c r="AD18" s="110"/>
      <c r="AE18" s="105"/>
    </row>
    <row r="19" spans="2:31" ht="21.75" customHeight="1" x14ac:dyDescent="0.25">
      <c r="C19" s="145"/>
      <c r="D19" s="170" t="s">
        <v>131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146"/>
      <c r="P19" s="146"/>
      <c r="Q19" s="147"/>
      <c r="R19" s="97"/>
      <c r="W19" s="106"/>
      <c r="X19" s="107"/>
      <c r="Y19" s="107"/>
      <c r="Z19" s="108"/>
      <c r="AA19" s="109"/>
      <c r="AB19" s="107"/>
      <c r="AC19" s="107"/>
      <c r="AD19" s="110"/>
      <c r="AE19" s="105"/>
    </row>
    <row r="20" spans="2:31" ht="21.75" customHeight="1" x14ac:dyDescent="0.25">
      <c r="C20" s="97"/>
      <c r="H20" s="106"/>
      <c r="I20" s="107"/>
      <c r="J20" s="107"/>
      <c r="K20" s="108"/>
      <c r="L20" s="109"/>
      <c r="M20" s="107"/>
      <c r="N20" s="107"/>
      <c r="O20" s="110"/>
      <c r="P20" s="105"/>
    </row>
    <row r="21" spans="2:31" ht="15" hidden="1" customHeight="1" x14ac:dyDescent="0.25">
      <c r="B21" s="98">
        <f>MATCH(C6,C27:C33,0)</f>
        <v>4</v>
      </c>
    </row>
    <row r="22" spans="2:31" ht="30" hidden="1" customHeight="1" x14ac:dyDescent="0.25">
      <c r="B22" s="98" t="str">
        <f>ADDRESS(B21+20,8)</f>
        <v>$H$24</v>
      </c>
    </row>
    <row r="23" spans="2:31" ht="15" hidden="1" customHeight="1" x14ac:dyDescent="0.25">
      <c r="B23" s="98"/>
    </row>
    <row r="24" spans="2:31" ht="15" hidden="1" customHeight="1" x14ac:dyDescent="0.25">
      <c r="B24" s="98">
        <f ca="1">INDIRECT(ADDRESS(B21+20,8))</f>
        <v>0</v>
      </c>
    </row>
    <row r="25" spans="2:31" ht="15" hidden="1" customHeight="1" x14ac:dyDescent="0.25">
      <c r="L25" s="99"/>
    </row>
    <row r="26" spans="2:31" ht="15" hidden="1" customHeight="1" x14ac:dyDescent="0.25">
      <c r="L26" s="99"/>
    </row>
    <row r="27" spans="2:31" ht="15" hidden="1" customHeight="1" x14ac:dyDescent="0.25">
      <c r="C27" s="100" t="s">
        <v>3</v>
      </c>
      <c r="D27" s="101">
        <v>185</v>
      </c>
      <c r="E27" s="102" t="s">
        <v>50</v>
      </c>
      <c r="F27" s="102" t="s">
        <v>88</v>
      </c>
      <c r="L27" s="99"/>
    </row>
    <row r="28" spans="2:31" ht="15" hidden="1" customHeight="1" x14ac:dyDescent="0.25">
      <c r="C28" s="100" t="s">
        <v>4</v>
      </c>
      <c r="D28" s="101">
        <v>170</v>
      </c>
      <c r="E28" s="102" t="s">
        <v>50</v>
      </c>
      <c r="F28" s="102" t="s">
        <v>88</v>
      </c>
      <c r="L28" s="99"/>
      <c r="N28" s="167" t="s">
        <v>135</v>
      </c>
      <c r="O28" s="148">
        <f>IF(H15='Лист 4'!B30,'Лист 4'!J30,0)+IF(H15='Лист 4'!B31,'Лист 4'!J31,0)+IF(H15='Лист 4'!B32,'Лист 4'!J32,0)+IF(H15='Лист 4'!B33,'Лист 4'!J33,0)+IF(H15='Лист 4'!B34,'Лист 4'!J34,0)+IF(H15='Лист 4'!B35,'Лист 4'!J35,0)+IF(H15='Лист 4'!B36,'Лист 4'!J36,0)+IF(H15='Лист 4'!B37,'Лист 4'!J37,0)+IF(H15='Лист 4'!B38,'Лист 4'!J38,0)+IF(H15='Лист 4'!B39,'Лист 4'!J39,0)+IF(H15='Лист 4'!B40,'Лист 4'!J40,0)+IF(H15='Лист 4'!B41,'Лист 4'!J41,0)+IF(H15='Лист 4'!B42,'Лист 4'!J42,0)+IF(H15='Лист 4'!B43,'Лист 4'!J43,0)+IF(H15='Лист 4'!B44,'Лист 4'!J44,0)+IF(H15='Лист 4'!B45,'Лист 4'!J45,0)</f>
        <v>8350</v>
      </c>
    </row>
    <row r="29" spans="2:31" ht="15" hidden="1" customHeight="1" x14ac:dyDescent="0.25">
      <c r="C29" s="100" t="s">
        <v>5</v>
      </c>
      <c r="D29" s="101">
        <v>150</v>
      </c>
      <c r="E29" s="102" t="s">
        <v>50</v>
      </c>
      <c r="F29" s="102" t="s">
        <v>88</v>
      </c>
      <c r="L29" s="99"/>
    </row>
    <row r="30" spans="2:31" ht="15" hidden="1" customHeight="1" x14ac:dyDescent="0.25">
      <c r="C30" s="100" t="s">
        <v>113</v>
      </c>
      <c r="D30" s="101">
        <v>70</v>
      </c>
      <c r="E30" s="102" t="s">
        <v>53</v>
      </c>
      <c r="F30" s="102" t="s">
        <v>87</v>
      </c>
    </row>
    <row r="31" spans="2:31" ht="15" hidden="1" customHeight="1" x14ac:dyDescent="0.25">
      <c r="C31" s="100" t="s">
        <v>6</v>
      </c>
      <c r="D31" s="101">
        <v>90</v>
      </c>
      <c r="E31" s="102" t="s">
        <v>54</v>
      </c>
      <c r="F31" s="102" t="s">
        <v>89</v>
      </c>
    </row>
    <row r="32" spans="2:31" ht="15" hidden="1" customHeight="1" x14ac:dyDescent="0.25">
      <c r="C32" s="100" t="s">
        <v>7</v>
      </c>
      <c r="D32" s="101">
        <v>40</v>
      </c>
      <c r="E32" s="102" t="s">
        <v>54</v>
      </c>
      <c r="F32" s="102" t="s">
        <v>89</v>
      </c>
    </row>
    <row r="33" spans="3:6" ht="15" hidden="1" customHeight="1" x14ac:dyDescent="0.25">
      <c r="C33" s="100" t="s">
        <v>8</v>
      </c>
      <c r="D33" s="101">
        <v>50</v>
      </c>
      <c r="E33" s="102" t="s">
        <v>53</v>
      </c>
      <c r="F33" s="102" t="s">
        <v>87</v>
      </c>
    </row>
    <row r="34" spans="3:6" ht="15" hidden="1" customHeight="1" x14ac:dyDescent="0.25"/>
    <row r="35" spans="3:6" ht="15" hidden="1" customHeight="1" x14ac:dyDescent="0.25"/>
  </sheetData>
  <sheetProtection password="C7BD" sheet="1" objects="1" scenarios="1" selectLockedCells="1"/>
  <mergeCells count="15">
    <mergeCell ref="D18:N18"/>
    <mergeCell ref="D19:N19"/>
    <mergeCell ref="H13:L14"/>
    <mergeCell ref="M14:N14"/>
    <mergeCell ref="M15:N15"/>
    <mergeCell ref="H15:L15"/>
    <mergeCell ref="H5:L5"/>
    <mergeCell ref="H9:L9"/>
    <mergeCell ref="C13:G13"/>
    <mergeCell ref="C4:N4"/>
    <mergeCell ref="C12:N12"/>
    <mergeCell ref="M13:N13"/>
    <mergeCell ref="C10:G10"/>
    <mergeCell ref="C9:G9"/>
    <mergeCell ref="C8:O8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Культура!$C$10:$C$16</xm:f>
          </x14:formula1>
          <xm:sqref>C6</xm:sqref>
        </x14:dataValidation>
        <x14:dataValidation type="list" allowBlank="1" showInputMessage="1" showErrorMessage="1">
          <x14:formula1>
            <xm:f>'Лист 2'!$AI$5:$AT$5</xm:f>
          </x14:formula1>
          <xm:sqref>G11 C10</xm:sqref>
        </x14:dataValidation>
        <x14:dataValidation type="list" allowBlank="1" showInputMessage="1" showErrorMessage="1" promptTitle="Светильник">
          <x14:formula1>
            <xm:f>'Лист 4'!$B$30:$B$45</xm:f>
          </x14:formula1>
          <xm:sqref>H15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16"/>
  <sheetViews>
    <sheetView zoomScale="90" zoomScaleNormal="90" workbookViewId="0">
      <selection activeCell="C5" sqref="C5:C7"/>
    </sheetView>
  </sheetViews>
  <sheetFormatPr defaultRowHeight="15" outlineLevelCol="1" x14ac:dyDescent="0.25"/>
  <cols>
    <col min="1" max="1" width="9.140625" style="93"/>
    <col min="2" max="2" width="20.28515625" style="93" customWidth="1"/>
    <col min="3" max="3" width="12.140625" style="93" customWidth="1"/>
    <col min="4" max="4" width="10.7109375" style="93" customWidth="1" outlineLevel="1"/>
    <col min="5" max="5" width="10.5703125" style="93" customWidth="1" outlineLevel="1"/>
    <col min="6" max="6" width="9.5703125" style="93" customWidth="1"/>
    <col min="7" max="7" width="11.42578125" style="93" customWidth="1"/>
    <col min="8" max="8" width="39.28515625" style="93" customWidth="1"/>
    <col min="9" max="9" width="26.7109375" style="93" customWidth="1"/>
    <col min="10" max="10" width="17" style="93" hidden="1" customWidth="1"/>
    <col min="11" max="11" width="12" style="93" hidden="1" customWidth="1"/>
    <col min="12" max="16384" width="9.140625" style="93"/>
  </cols>
  <sheetData>
    <row r="1" spans="2:11" ht="15.75" thickBot="1" x14ac:dyDescent="0.3"/>
    <row r="2" spans="2:11" ht="21.75" customHeight="1" thickBot="1" x14ac:dyDescent="0.4">
      <c r="B2" s="261" t="s">
        <v>139</v>
      </c>
      <c r="C2" s="262"/>
      <c r="D2" s="262"/>
      <c r="E2" s="262"/>
      <c r="F2" s="262"/>
      <c r="G2" s="262"/>
      <c r="H2" s="262"/>
      <c r="I2" s="264"/>
      <c r="J2" s="260"/>
      <c r="K2" s="105"/>
    </row>
    <row r="3" spans="2:11" ht="31.5" customHeight="1" thickBot="1" x14ac:dyDescent="0.3">
      <c r="B3" s="199" t="s">
        <v>126</v>
      </c>
      <c r="C3" s="196" t="s">
        <v>118</v>
      </c>
      <c r="D3" s="197"/>
      <c r="E3" s="197"/>
      <c r="F3" s="197"/>
      <c r="G3" s="198"/>
      <c r="H3" s="210" t="s">
        <v>117</v>
      </c>
      <c r="I3" s="263" t="s">
        <v>120</v>
      </c>
      <c r="J3" s="159"/>
      <c r="K3" s="160"/>
    </row>
    <row r="4" spans="2:11" ht="36" customHeight="1" thickBot="1" x14ac:dyDescent="0.3">
      <c r="B4" s="200"/>
      <c r="C4" s="117" t="s">
        <v>115</v>
      </c>
      <c r="D4" s="118" t="s">
        <v>23</v>
      </c>
      <c r="E4" s="119" t="s">
        <v>24</v>
      </c>
      <c r="F4" s="120" t="s">
        <v>69</v>
      </c>
      <c r="G4" s="121" t="s">
        <v>101</v>
      </c>
      <c r="H4" s="211"/>
      <c r="I4" s="265" t="s">
        <v>116</v>
      </c>
      <c r="J4" s="114" t="s">
        <v>107</v>
      </c>
      <c r="K4" s="115" t="s">
        <v>44</v>
      </c>
    </row>
    <row r="5" spans="2:11" ht="25.5" customHeight="1" thickBot="1" x14ac:dyDescent="0.3">
      <c r="B5" s="163" t="s">
        <v>124</v>
      </c>
      <c r="C5" s="201">
        <v>1000</v>
      </c>
      <c r="D5" s="201">
        <v>10</v>
      </c>
      <c r="E5" s="201">
        <v>5</v>
      </c>
      <c r="F5" s="207">
        <f>D5*E5</f>
        <v>50</v>
      </c>
      <c r="G5" s="204">
        <v>3</v>
      </c>
      <c r="H5" s="204" t="s">
        <v>122</v>
      </c>
      <c r="I5" s="124">
        <f>IF($H$5='Лист 5'!$A$34,'Лист 5'!K34,0)+IF($H$5='Лист 5'!$A$37,'Лист 5'!K37,0)</f>
        <v>224</v>
      </c>
      <c r="J5" s="162">
        <f>IF(J12&lt;20000,J12,0)+IF(AND(20000&lt;J12,J12&lt;100000),J12-10%*J12,0)+IF(AND(100000&lt;J12,J12&lt;250000),J12-25%*J12,0)+IF(AND(250000&lt;J12,J12&lt;500000),J12-40%*J12,0)+IF(500000&lt;J12,J12-50%*J12,0)</f>
        <v>2130128</v>
      </c>
      <c r="K5" s="161"/>
    </row>
    <row r="6" spans="2:11" ht="21.75" customHeight="1" thickBot="1" x14ac:dyDescent="0.3">
      <c r="B6" s="163" t="s">
        <v>53</v>
      </c>
      <c r="C6" s="202"/>
      <c r="D6" s="202"/>
      <c r="E6" s="202"/>
      <c r="F6" s="208"/>
      <c r="G6" s="205"/>
      <c r="H6" s="205"/>
      <c r="I6" s="124">
        <f>IF($H$5='Лист 5'!$A$34,'Лист 5'!K35,0)+IF($H$5='Лист 5'!$A$37,'Лист 5'!K38,0)</f>
        <v>230</v>
      </c>
      <c r="J6" s="162">
        <f t="shared" ref="J6:J7" si="0">IF(J13&lt;20000,J13,0)+IF(AND(20000&lt;J13,J13&lt;100000),J13-10%*J13,0)+IF(AND(100000&lt;J13,J13&lt;250000),J13-25%*J13,0)+IF(AND(250000&lt;J13,J13&lt;500000),J13-40%*J13,0)+IF(500000&lt;J13,J13-50%*J13,0)</f>
        <v>2187185</v>
      </c>
      <c r="K6" s="161"/>
    </row>
    <row r="7" spans="2:11" ht="21.75" customHeight="1" thickBot="1" x14ac:dyDescent="0.3">
      <c r="B7" s="163" t="s">
        <v>54</v>
      </c>
      <c r="C7" s="203"/>
      <c r="D7" s="203"/>
      <c r="E7" s="203"/>
      <c r="F7" s="209"/>
      <c r="G7" s="206"/>
      <c r="H7" s="206"/>
      <c r="I7" s="124">
        <f>IF($H$5='Лист 5'!$A$34,'Лист 5'!K36,0)+IF($H$5='Лист 5'!$A$37,'Лист 5'!K39,0)</f>
        <v>230</v>
      </c>
      <c r="J7" s="162">
        <f t="shared" si="0"/>
        <v>2187185</v>
      </c>
      <c r="K7" s="161"/>
    </row>
    <row r="8" spans="2:11" ht="21.75" customHeight="1" x14ac:dyDescent="0.25">
      <c r="C8" s="97"/>
      <c r="H8" s="106"/>
      <c r="I8" s="107"/>
      <c r="J8" s="110"/>
      <c r="K8" s="105"/>
    </row>
    <row r="9" spans="2:11" ht="21.75" customHeight="1" x14ac:dyDescent="0.25">
      <c r="C9" s="97"/>
      <c r="H9" s="106"/>
      <c r="I9" s="107"/>
      <c r="J9" s="110"/>
      <c r="K9" s="105"/>
    </row>
    <row r="10" spans="2:11" hidden="1" x14ac:dyDescent="0.25"/>
    <row r="11" spans="2:11" ht="15.75" hidden="1" thickBot="1" x14ac:dyDescent="0.3"/>
    <row r="12" spans="2:11" ht="15.75" hidden="1" thickBot="1" x14ac:dyDescent="0.3">
      <c r="H12" s="93">
        <f>IF(H5='Лист 5'!A34,'Лист 5'!K34,0)</f>
        <v>0</v>
      </c>
      <c r="I12" s="163" t="s">
        <v>124</v>
      </c>
      <c r="J12" s="93">
        <f>IF($H$5='Лист 5'!$A$34,'Лист 5'!J34,0)+IF($H$5='Лист 5'!$A$37,'Лист 5'!J37,0)</f>
        <v>4260256</v>
      </c>
    </row>
    <row r="13" spans="2:11" ht="15.75" hidden="1" thickBot="1" x14ac:dyDescent="0.3">
      <c r="I13" s="163" t="s">
        <v>53</v>
      </c>
      <c r="J13" s="93">
        <f>IF($H$5='Лист 5'!$A$34,'Лист 5'!J35,0)+IF($H$5='Лист 5'!$A$37,'Лист 5'!J38,0)</f>
        <v>4374370</v>
      </c>
    </row>
    <row r="14" spans="2:11" ht="15.75" hidden="1" thickBot="1" x14ac:dyDescent="0.3">
      <c r="I14" s="163" t="s">
        <v>54</v>
      </c>
      <c r="J14" s="93">
        <f>IF($H$5='Лист 5'!$A$34,'Лист 5'!J36,0)+IF($H$5='Лист 5'!$A$37,'Лист 5'!J39,0)</f>
        <v>4374370</v>
      </c>
    </row>
    <row r="15" spans="2:11" hidden="1" x14ac:dyDescent="0.25"/>
    <row r="16" spans="2:11" hidden="1" x14ac:dyDescent="0.25"/>
  </sheetData>
  <sheetProtection password="C7BD" sheet="1" objects="1" scenarios="1" selectLockedCells="1"/>
  <mergeCells count="10">
    <mergeCell ref="B3:B4"/>
    <mergeCell ref="C3:G3"/>
    <mergeCell ref="E5:E7"/>
    <mergeCell ref="D5:D7"/>
    <mergeCell ref="C5:C7"/>
    <mergeCell ref="H5:H7"/>
    <mergeCell ref="G5:G7"/>
    <mergeCell ref="F5:F7"/>
    <mergeCell ref="H3:H4"/>
    <mergeCell ref="B2:I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'Лист 5'!$A$34:$A$39</xm:f>
          </x14:formula1>
          <xm:sqref>H5:H7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9"/>
  <sheetViews>
    <sheetView workbookViewId="0">
      <selection activeCell="A2" sqref="A2:XFD129"/>
    </sheetView>
  </sheetViews>
  <sheetFormatPr defaultRowHeight="15" x14ac:dyDescent="0.25"/>
  <cols>
    <col min="2" max="2" width="13.5703125" customWidth="1"/>
  </cols>
  <sheetData>
    <row r="2" spans="2:13" hidden="1" x14ac:dyDescent="0.25"/>
    <row r="3" spans="2:13" ht="15.75" hidden="1" thickBot="1" x14ac:dyDescent="0.3">
      <c r="B3" s="214" t="s">
        <v>9</v>
      </c>
      <c r="C3" s="215"/>
      <c r="D3" s="215"/>
      <c r="E3" s="216"/>
      <c r="F3" s="216"/>
      <c r="G3" s="216"/>
      <c r="H3" s="216"/>
      <c r="I3" s="216"/>
      <c r="J3" s="216"/>
      <c r="K3" s="216"/>
      <c r="L3" s="216"/>
      <c r="M3" s="216"/>
    </row>
    <row r="4" spans="2:13" hidden="1" x14ac:dyDescent="0.25">
      <c r="B4" s="217" t="s">
        <v>10</v>
      </c>
      <c r="C4" s="217" t="s">
        <v>11</v>
      </c>
      <c r="D4" s="217"/>
      <c r="E4" s="219" t="s">
        <v>47</v>
      </c>
      <c r="F4" s="220"/>
      <c r="G4" s="220"/>
      <c r="H4" s="220"/>
      <c r="I4" s="220"/>
      <c r="J4" s="220"/>
      <c r="K4" s="220"/>
      <c r="L4" s="220"/>
      <c r="M4" s="221"/>
    </row>
    <row r="5" spans="2:13" ht="27.75" hidden="1" customHeight="1" thickBot="1" x14ac:dyDescent="0.3">
      <c r="B5" s="218"/>
      <c r="C5" s="218"/>
      <c r="D5" s="218"/>
      <c r="E5" s="9">
        <v>16</v>
      </c>
      <c r="F5" s="10">
        <v>24</v>
      </c>
      <c r="G5" s="10">
        <v>32</v>
      </c>
      <c r="H5" s="10">
        <v>48</v>
      </c>
      <c r="I5" s="10">
        <v>56</v>
      </c>
      <c r="J5" s="10">
        <v>64</v>
      </c>
      <c r="K5" s="10">
        <v>96</v>
      </c>
      <c r="L5" s="10">
        <v>112</v>
      </c>
      <c r="M5" s="11">
        <v>128</v>
      </c>
    </row>
    <row r="6" spans="2:13" hidden="1" x14ac:dyDescent="0.25">
      <c r="C6" s="222" t="s">
        <v>13</v>
      </c>
      <c r="D6" s="223"/>
      <c r="E6" s="14">
        <v>111</v>
      </c>
      <c r="F6" s="14">
        <v>128</v>
      </c>
      <c r="G6" s="14">
        <v>164</v>
      </c>
      <c r="H6" s="14">
        <v>191</v>
      </c>
      <c r="I6" s="14">
        <v>212</v>
      </c>
      <c r="J6" s="14">
        <v>229</v>
      </c>
      <c r="K6" s="14">
        <v>248</v>
      </c>
      <c r="L6" s="14">
        <v>266</v>
      </c>
      <c r="M6" s="14">
        <v>280</v>
      </c>
    </row>
    <row r="7" spans="2:13" ht="12" hidden="1" customHeight="1" x14ac:dyDescent="0.25">
      <c r="B7" s="3" t="s">
        <v>12</v>
      </c>
      <c r="C7" s="212" t="s">
        <v>14</v>
      </c>
      <c r="D7" s="7" t="s">
        <v>45</v>
      </c>
      <c r="E7" s="6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</row>
    <row r="8" spans="2:13" ht="12" hidden="1" customHeight="1" x14ac:dyDescent="0.25">
      <c r="B8" s="4"/>
      <c r="C8" s="213"/>
      <c r="D8" s="7" t="s">
        <v>46</v>
      </c>
      <c r="E8" s="6">
        <v>0.7</v>
      </c>
      <c r="F8" s="2">
        <v>0.8</v>
      </c>
      <c r="G8" s="2">
        <v>1</v>
      </c>
      <c r="H8" s="2">
        <v>1.1000000000000001</v>
      </c>
      <c r="I8" s="2">
        <v>1.2</v>
      </c>
      <c r="J8" s="2">
        <v>1.4</v>
      </c>
      <c r="K8" s="2">
        <v>1.7</v>
      </c>
      <c r="L8" s="2">
        <v>2</v>
      </c>
      <c r="M8" s="2">
        <v>2.2999999999999998</v>
      </c>
    </row>
    <row r="9" spans="2:13" ht="12" hidden="1" customHeight="1" x14ac:dyDescent="0.25">
      <c r="C9" s="222" t="s">
        <v>13</v>
      </c>
      <c r="D9" s="224"/>
      <c r="E9" s="15">
        <v>67</v>
      </c>
      <c r="F9" s="15">
        <v>80</v>
      </c>
      <c r="G9" s="15">
        <v>105</v>
      </c>
      <c r="H9" s="15">
        <v>124</v>
      </c>
      <c r="I9" s="15">
        <v>140</v>
      </c>
      <c r="J9" s="15">
        <v>153</v>
      </c>
      <c r="K9" s="15">
        <v>169</v>
      </c>
      <c r="L9" s="15">
        <v>184</v>
      </c>
      <c r="M9" s="15">
        <v>195</v>
      </c>
    </row>
    <row r="10" spans="2:13" hidden="1" x14ac:dyDescent="0.25">
      <c r="B10" s="3" t="s">
        <v>15</v>
      </c>
      <c r="C10" s="212" t="s">
        <v>14</v>
      </c>
      <c r="D10" s="7" t="s">
        <v>45</v>
      </c>
      <c r="E10" s="6">
        <v>0.7</v>
      </c>
      <c r="F10" s="2">
        <v>0.7</v>
      </c>
      <c r="G10" s="2">
        <v>0.7</v>
      </c>
      <c r="H10" s="2">
        <v>0.7</v>
      </c>
      <c r="I10" s="2">
        <v>0.7</v>
      </c>
      <c r="J10" s="2">
        <v>0.7</v>
      </c>
      <c r="K10" s="2">
        <v>0.7</v>
      </c>
      <c r="L10" s="2">
        <v>0.7</v>
      </c>
      <c r="M10" s="2">
        <v>0.7</v>
      </c>
    </row>
    <row r="11" spans="2:13" hidden="1" x14ac:dyDescent="0.25">
      <c r="B11" s="4"/>
      <c r="C11" s="213"/>
      <c r="D11" s="7" t="s">
        <v>46</v>
      </c>
      <c r="E11" s="6">
        <v>0.9</v>
      </c>
      <c r="F11" s="2">
        <v>1</v>
      </c>
      <c r="G11" s="2">
        <v>1.1000000000000001</v>
      </c>
      <c r="H11" s="2">
        <v>1.3</v>
      </c>
      <c r="I11" s="2">
        <v>1.4</v>
      </c>
      <c r="J11" s="2">
        <v>1.6</v>
      </c>
      <c r="K11" s="2">
        <v>1.9</v>
      </c>
      <c r="L11" s="2">
        <v>2.2000000000000002</v>
      </c>
      <c r="M11" s="2">
        <v>2.4</v>
      </c>
    </row>
    <row r="12" spans="2:13" hidden="1" x14ac:dyDescent="0.25">
      <c r="C12" s="222" t="s">
        <v>13</v>
      </c>
      <c r="D12" s="224"/>
      <c r="E12" s="15">
        <v>45</v>
      </c>
      <c r="F12" s="15">
        <v>55</v>
      </c>
      <c r="G12" s="15">
        <v>73</v>
      </c>
      <c r="H12" s="15">
        <v>88</v>
      </c>
      <c r="I12" s="15">
        <v>100</v>
      </c>
      <c r="J12" s="15">
        <v>110</v>
      </c>
      <c r="K12" s="15">
        <v>124</v>
      </c>
      <c r="L12" s="15">
        <v>136</v>
      </c>
      <c r="M12" s="15">
        <v>146</v>
      </c>
    </row>
    <row r="13" spans="2:13" hidden="1" x14ac:dyDescent="0.25">
      <c r="B13" s="3" t="s">
        <v>16</v>
      </c>
      <c r="C13" s="212" t="s">
        <v>14</v>
      </c>
      <c r="D13" s="7" t="s">
        <v>45</v>
      </c>
      <c r="E13" s="6">
        <v>0.8</v>
      </c>
      <c r="F13" s="2">
        <v>0.8</v>
      </c>
      <c r="G13" s="2">
        <v>0.8</v>
      </c>
      <c r="H13" s="2">
        <v>0.8</v>
      </c>
      <c r="I13" s="2">
        <v>0.8</v>
      </c>
      <c r="J13" s="2">
        <v>0.8</v>
      </c>
      <c r="K13" s="2">
        <v>0.8</v>
      </c>
      <c r="L13" s="2">
        <v>0.8</v>
      </c>
      <c r="M13" s="2">
        <v>0.8</v>
      </c>
    </row>
    <row r="14" spans="2:13" hidden="1" x14ac:dyDescent="0.25">
      <c r="B14" s="4"/>
      <c r="C14" s="213"/>
      <c r="D14" s="7" t="s">
        <v>46</v>
      </c>
      <c r="E14" s="6">
        <v>1</v>
      </c>
      <c r="F14" s="2">
        <v>1.2</v>
      </c>
      <c r="G14" s="2">
        <v>1.3</v>
      </c>
      <c r="H14" s="2">
        <v>1.4</v>
      </c>
      <c r="I14" s="2">
        <v>1.6</v>
      </c>
      <c r="J14" s="2">
        <v>1.7</v>
      </c>
      <c r="K14" s="2">
        <v>2</v>
      </c>
      <c r="L14" s="2">
        <v>2.2999999999999998</v>
      </c>
      <c r="M14" s="2">
        <v>2.6</v>
      </c>
    </row>
    <row r="15" spans="2:13" hidden="1" x14ac:dyDescent="0.25">
      <c r="C15" s="222" t="s">
        <v>13</v>
      </c>
      <c r="D15" s="224"/>
      <c r="E15" s="15">
        <v>32</v>
      </c>
      <c r="F15" s="15">
        <v>40</v>
      </c>
      <c r="G15" s="15">
        <v>54</v>
      </c>
      <c r="H15" s="15">
        <v>66</v>
      </c>
      <c r="I15" s="15">
        <v>75</v>
      </c>
      <c r="J15" s="15">
        <v>84</v>
      </c>
      <c r="K15" s="15">
        <v>96</v>
      </c>
      <c r="L15" s="15">
        <v>106</v>
      </c>
      <c r="M15" s="15">
        <v>114</v>
      </c>
    </row>
    <row r="16" spans="2:13" hidden="1" x14ac:dyDescent="0.25">
      <c r="B16" s="3" t="s">
        <v>17</v>
      </c>
      <c r="C16" s="212" t="s">
        <v>14</v>
      </c>
      <c r="D16" s="7" t="s">
        <v>45</v>
      </c>
      <c r="E16" s="6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</row>
    <row r="17" spans="2:13" hidden="1" x14ac:dyDescent="0.25">
      <c r="B17" s="4"/>
      <c r="C17" s="213"/>
      <c r="D17" s="7" t="s">
        <v>46</v>
      </c>
      <c r="E17" s="6">
        <v>1.2</v>
      </c>
      <c r="F17" s="2">
        <v>1.3</v>
      </c>
      <c r="G17" s="2">
        <v>1.5</v>
      </c>
      <c r="H17" s="2">
        <v>1.6</v>
      </c>
      <c r="I17" s="2">
        <v>1.7</v>
      </c>
      <c r="J17" s="2">
        <v>1.9</v>
      </c>
      <c r="K17" s="2">
        <v>2.2000000000000002</v>
      </c>
      <c r="L17" s="2">
        <v>2.5</v>
      </c>
      <c r="M17" s="2">
        <v>2.8</v>
      </c>
    </row>
    <row r="18" spans="2:13" hidden="1" x14ac:dyDescent="0.25">
      <c r="C18" s="222" t="s">
        <v>13</v>
      </c>
      <c r="D18" s="224"/>
      <c r="E18" s="15">
        <v>24</v>
      </c>
      <c r="F18" s="15">
        <v>30</v>
      </c>
      <c r="G18" s="15">
        <v>41</v>
      </c>
      <c r="H18" s="15">
        <v>51</v>
      </c>
      <c r="I18" s="15">
        <v>59</v>
      </c>
      <c r="J18" s="15">
        <v>66</v>
      </c>
      <c r="K18" s="15">
        <v>76</v>
      </c>
      <c r="L18" s="15">
        <v>85</v>
      </c>
      <c r="M18" s="15">
        <v>92</v>
      </c>
    </row>
    <row r="19" spans="2:13" hidden="1" x14ac:dyDescent="0.25">
      <c r="B19" s="3" t="s">
        <v>18</v>
      </c>
      <c r="C19" s="212" t="s">
        <v>14</v>
      </c>
      <c r="D19" s="7" t="s">
        <v>45</v>
      </c>
      <c r="E19" s="6">
        <v>1.2</v>
      </c>
      <c r="F19" s="2">
        <v>1.2</v>
      </c>
      <c r="G19" s="2">
        <v>1.2</v>
      </c>
      <c r="H19" s="2">
        <v>1.2</v>
      </c>
      <c r="I19" s="2">
        <v>1.2</v>
      </c>
      <c r="J19" s="2">
        <v>1.2</v>
      </c>
      <c r="K19" s="2">
        <v>1.2</v>
      </c>
      <c r="L19" s="2">
        <v>1.2</v>
      </c>
      <c r="M19" s="2">
        <v>1.2</v>
      </c>
    </row>
    <row r="20" spans="2:13" hidden="1" x14ac:dyDescent="0.25">
      <c r="B20" s="4"/>
      <c r="C20" s="213"/>
      <c r="D20" s="7" t="s">
        <v>46</v>
      </c>
      <c r="E20" s="6">
        <v>1.4</v>
      </c>
      <c r="F20" s="2">
        <v>1.5</v>
      </c>
      <c r="G20" s="2">
        <v>1.6</v>
      </c>
      <c r="H20" s="2">
        <v>1.8</v>
      </c>
      <c r="I20" s="2">
        <v>1.9</v>
      </c>
      <c r="J20" s="2">
        <v>2.1</v>
      </c>
      <c r="K20" s="2">
        <v>2.4</v>
      </c>
      <c r="L20" s="2">
        <v>2.7</v>
      </c>
      <c r="M20" s="2">
        <v>2.9</v>
      </c>
    </row>
    <row r="21" spans="2:13" hidden="1" x14ac:dyDescent="0.25">
      <c r="C21" s="222" t="s">
        <v>13</v>
      </c>
      <c r="D21" s="224"/>
      <c r="E21" s="15">
        <v>19</v>
      </c>
      <c r="F21" s="15">
        <v>24</v>
      </c>
      <c r="G21" s="15">
        <v>33</v>
      </c>
      <c r="H21" s="15">
        <v>41</v>
      </c>
      <c r="I21" s="15">
        <v>47</v>
      </c>
      <c r="J21" s="15">
        <v>53</v>
      </c>
      <c r="K21" s="15">
        <v>62</v>
      </c>
      <c r="L21" s="15">
        <v>70</v>
      </c>
      <c r="M21" s="15">
        <v>77</v>
      </c>
    </row>
    <row r="22" spans="2:13" hidden="1" x14ac:dyDescent="0.25">
      <c r="B22" s="3" t="s">
        <v>19</v>
      </c>
      <c r="C22" s="212" t="s">
        <v>14</v>
      </c>
      <c r="D22" s="7" t="s">
        <v>45</v>
      </c>
      <c r="E22" s="6">
        <v>1.3</v>
      </c>
      <c r="F22" s="2">
        <v>1.3</v>
      </c>
      <c r="G22" s="2">
        <v>1.3</v>
      </c>
      <c r="H22" s="2">
        <v>1.3</v>
      </c>
      <c r="I22" s="2">
        <v>1.3</v>
      </c>
      <c r="J22" s="2">
        <v>1.3</v>
      </c>
      <c r="K22" s="2">
        <v>1.3</v>
      </c>
      <c r="L22" s="2">
        <v>1.3</v>
      </c>
      <c r="M22" s="2">
        <v>1.3</v>
      </c>
    </row>
    <row r="23" spans="2:13" hidden="1" x14ac:dyDescent="0.25">
      <c r="B23" s="4"/>
      <c r="C23" s="213"/>
      <c r="D23" s="7" t="s">
        <v>46</v>
      </c>
      <c r="E23" s="6">
        <v>1.6</v>
      </c>
      <c r="F23" s="2">
        <v>1.7</v>
      </c>
      <c r="G23" s="2">
        <v>1.8</v>
      </c>
      <c r="H23" s="2">
        <v>1.9</v>
      </c>
      <c r="I23" s="2">
        <v>2.1</v>
      </c>
      <c r="J23" s="2">
        <v>2.2000000000000002</v>
      </c>
      <c r="K23" s="2">
        <v>2.5</v>
      </c>
      <c r="L23" s="2">
        <v>2.8</v>
      </c>
      <c r="M23" s="2">
        <v>3.1</v>
      </c>
    </row>
    <row r="24" spans="2:13" hidden="1" x14ac:dyDescent="0.25">
      <c r="B24" s="3" t="s">
        <v>20</v>
      </c>
      <c r="C24" s="222" t="s">
        <v>13</v>
      </c>
      <c r="D24" s="224"/>
      <c r="E24" s="15">
        <v>15</v>
      </c>
      <c r="F24" s="15">
        <v>19</v>
      </c>
      <c r="G24" s="15">
        <v>27</v>
      </c>
      <c r="H24" s="15">
        <v>33</v>
      </c>
      <c r="I24" s="15">
        <v>39</v>
      </c>
      <c r="J24" s="15">
        <v>44</v>
      </c>
      <c r="K24" s="15">
        <v>52</v>
      </c>
      <c r="L24" s="15">
        <v>59</v>
      </c>
      <c r="M24" s="15">
        <v>65</v>
      </c>
    </row>
    <row r="25" spans="2:13" hidden="1" x14ac:dyDescent="0.25">
      <c r="B25" s="13"/>
      <c r="C25" s="212" t="s">
        <v>14</v>
      </c>
      <c r="D25" s="7" t="s">
        <v>45</v>
      </c>
      <c r="E25" s="6">
        <v>1.5</v>
      </c>
      <c r="F25" s="2">
        <v>1.5</v>
      </c>
      <c r="G25" s="2">
        <v>1.5</v>
      </c>
      <c r="H25" s="2">
        <v>1.5</v>
      </c>
      <c r="I25" s="2">
        <v>1.5</v>
      </c>
      <c r="J25" s="2">
        <v>1.5</v>
      </c>
      <c r="K25" s="2">
        <v>1.5</v>
      </c>
      <c r="L25" s="2">
        <v>1.5</v>
      </c>
      <c r="M25" s="2">
        <v>1.5</v>
      </c>
    </row>
    <row r="26" spans="2:13" hidden="1" x14ac:dyDescent="0.25">
      <c r="B26" s="24"/>
      <c r="C26" s="226"/>
      <c r="D26" s="7" t="s">
        <v>46</v>
      </c>
      <c r="E26" s="8">
        <v>1.7</v>
      </c>
      <c r="F26" s="1">
        <v>1.8</v>
      </c>
      <c r="G26" s="1">
        <v>2</v>
      </c>
      <c r="H26" s="1">
        <v>2.1</v>
      </c>
      <c r="I26" s="1">
        <v>2.2000000000000002</v>
      </c>
      <c r="J26" s="1">
        <v>2.4</v>
      </c>
      <c r="K26" s="1">
        <v>2.7</v>
      </c>
      <c r="L26" s="1">
        <v>3</v>
      </c>
      <c r="M26" s="1">
        <v>3.3</v>
      </c>
    </row>
    <row r="27" spans="2:13" hidden="1" x14ac:dyDescent="0.25">
      <c r="C27" s="227" t="s">
        <v>13</v>
      </c>
      <c r="D27" s="228"/>
      <c r="E27" s="16">
        <v>13</v>
      </c>
      <c r="F27" s="16">
        <v>16</v>
      </c>
      <c r="G27" s="16">
        <v>22</v>
      </c>
      <c r="H27" s="16">
        <v>28</v>
      </c>
      <c r="I27" s="16">
        <v>33</v>
      </c>
      <c r="J27" s="16">
        <v>37</v>
      </c>
      <c r="K27" s="16">
        <v>44</v>
      </c>
      <c r="L27" s="16">
        <v>50</v>
      </c>
      <c r="M27" s="16">
        <v>55</v>
      </c>
    </row>
    <row r="28" spans="2:13" hidden="1" x14ac:dyDescent="0.25">
      <c r="B28" s="25" t="s">
        <v>21</v>
      </c>
      <c r="C28" s="225" t="s">
        <v>14</v>
      </c>
      <c r="D28" s="7" t="s">
        <v>45</v>
      </c>
      <c r="E28" s="5">
        <v>1.7</v>
      </c>
      <c r="F28" s="5">
        <v>1.7</v>
      </c>
      <c r="G28" s="5">
        <v>1.7</v>
      </c>
      <c r="H28" s="5">
        <v>1.7</v>
      </c>
      <c r="I28" s="5">
        <v>1.7</v>
      </c>
      <c r="J28" s="5">
        <v>1.7</v>
      </c>
      <c r="K28" s="5">
        <v>1.7</v>
      </c>
      <c r="L28" s="5">
        <v>1.7</v>
      </c>
      <c r="M28" s="5">
        <v>1.7</v>
      </c>
    </row>
    <row r="29" spans="2:13" hidden="1" x14ac:dyDescent="0.25">
      <c r="B29" s="27"/>
      <c r="C29" s="225"/>
      <c r="D29" s="7" t="s">
        <v>46</v>
      </c>
      <c r="E29" s="5">
        <v>1.9</v>
      </c>
      <c r="F29" s="5">
        <v>2</v>
      </c>
      <c r="G29" s="5">
        <v>2.1</v>
      </c>
      <c r="H29" s="5">
        <v>2.2999999999999998</v>
      </c>
      <c r="I29" s="5">
        <v>2.4</v>
      </c>
      <c r="J29" s="5">
        <v>2.6</v>
      </c>
      <c r="K29" s="5">
        <v>2.9</v>
      </c>
      <c r="L29" s="5">
        <v>3.2</v>
      </c>
      <c r="M29" s="5">
        <v>3.4</v>
      </c>
    </row>
    <row r="30" spans="2:13" ht="15" hidden="1" customHeight="1" x14ac:dyDescent="0.25">
      <c r="B30" s="25"/>
    </row>
    <row r="31" spans="2:13" hidden="1" x14ac:dyDescent="0.25">
      <c r="B31" s="26"/>
    </row>
    <row r="32" spans="2:13" hidden="1" x14ac:dyDescent="0.25">
      <c r="B32" s="27"/>
    </row>
    <row r="33" spans="2:13" hidden="1" x14ac:dyDescent="0.25"/>
    <row r="34" spans="2:13" hidden="1" x14ac:dyDescent="0.25"/>
    <row r="35" spans="2:13" hidden="1" x14ac:dyDescent="0.25"/>
    <row r="36" spans="2:13" hidden="1" x14ac:dyDescent="0.25"/>
    <row r="37" spans="2:13" hidden="1" x14ac:dyDescent="0.25"/>
    <row r="38" spans="2:13" hidden="1" x14ac:dyDescent="0.25"/>
    <row r="39" spans="2:13" ht="15.75" hidden="1" thickBot="1" x14ac:dyDescent="0.3">
      <c r="E39" s="9">
        <v>16</v>
      </c>
      <c r="F39" s="10">
        <v>24</v>
      </c>
      <c r="G39" s="10">
        <v>32</v>
      </c>
      <c r="H39" s="10">
        <v>48</v>
      </c>
      <c r="I39" s="10">
        <v>56</v>
      </c>
      <c r="J39" s="10">
        <v>64</v>
      </c>
      <c r="K39" s="10">
        <v>96</v>
      </c>
      <c r="L39" s="10">
        <v>112</v>
      </c>
      <c r="M39" s="11">
        <v>128</v>
      </c>
    </row>
    <row r="40" spans="2:13" ht="12" hidden="1" customHeight="1" x14ac:dyDescent="0.25">
      <c r="B40" s="3" t="s">
        <v>12</v>
      </c>
      <c r="C40" s="212" t="s">
        <v>14</v>
      </c>
      <c r="D40" s="7" t="s">
        <v>45</v>
      </c>
      <c r="E40" s="6">
        <v>0.5</v>
      </c>
      <c r="F40" s="2">
        <v>0.5</v>
      </c>
      <c r="G40" s="2">
        <v>0.5</v>
      </c>
      <c r="H40" s="2">
        <v>0.5</v>
      </c>
      <c r="I40" s="2">
        <v>0.5</v>
      </c>
      <c r="J40" s="2">
        <v>0.5</v>
      </c>
      <c r="K40" s="2">
        <v>0.5</v>
      </c>
      <c r="L40" s="2">
        <v>0.5</v>
      </c>
      <c r="M40" s="2">
        <v>0.5</v>
      </c>
    </row>
    <row r="41" spans="2:13" ht="12" hidden="1" customHeight="1" x14ac:dyDescent="0.25">
      <c r="B41" s="4"/>
      <c r="C41" s="213"/>
      <c r="D41" s="7" t="s">
        <v>46</v>
      </c>
      <c r="E41" s="6">
        <v>0.7</v>
      </c>
      <c r="F41" s="2">
        <v>0.8</v>
      </c>
      <c r="G41" s="2">
        <v>1</v>
      </c>
      <c r="H41" s="2">
        <v>1.1000000000000001</v>
      </c>
      <c r="I41" s="2">
        <v>1.2</v>
      </c>
      <c r="J41" s="2">
        <v>1.4</v>
      </c>
      <c r="K41" s="2">
        <v>1.7</v>
      </c>
      <c r="L41" s="2">
        <v>2</v>
      </c>
      <c r="M41" s="2">
        <v>2.2999999999999998</v>
      </c>
    </row>
    <row r="42" spans="2:13" hidden="1" x14ac:dyDescent="0.25">
      <c r="B42" s="3" t="s">
        <v>15</v>
      </c>
      <c r="C42" s="212" t="s">
        <v>14</v>
      </c>
      <c r="D42" s="7" t="s">
        <v>45</v>
      </c>
      <c r="E42" s="6">
        <v>0.7</v>
      </c>
      <c r="F42" s="2">
        <v>0.7</v>
      </c>
      <c r="G42" s="2">
        <v>0.7</v>
      </c>
      <c r="H42" s="2">
        <v>0.7</v>
      </c>
      <c r="I42" s="2">
        <v>0.7</v>
      </c>
      <c r="J42" s="2">
        <v>0.7</v>
      </c>
      <c r="K42" s="2">
        <v>0.7</v>
      </c>
      <c r="L42" s="2">
        <v>0.7</v>
      </c>
      <c r="M42" s="2">
        <v>0.7</v>
      </c>
    </row>
    <row r="43" spans="2:13" hidden="1" x14ac:dyDescent="0.25">
      <c r="B43" s="4"/>
      <c r="C43" s="213"/>
      <c r="D43" s="7" t="s">
        <v>46</v>
      </c>
      <c r="E43" s="6">
        <v>0.9</v>
      </c>
      <c r="F43" s="2">
        <v>1</v>
      </c>
      <c r="G43" s="2">
        <v>1.1000000000000001</v>
      </c>
      <c r="H43" s="2">
        <v>1.3</v>
      </c>
      <c r="I43" s="2">
        <v>1.4</v>
      </c>
      <c r="J43" s="2">
        <v>1.6</v>
      </c>
      <c r="K43" s="2">
        <v>1.9</v>
      </c>
      <c r="L43" s="2">
        <v>2.2000000000000002</v>
      </c>
      <c r="M43" s="2">
        <v>2.4</v>
      </c>
    </row>
    <row r="44" spans="2:13" hidden="1" x14ac:dyDescent="0.25">
      <c r="B44" s="3" t="s">
        <v>16</v>
      </c>
      <c r="C44" s="212" t="s">
        <v>14</v>
      </c>
      <c r="D44" s="7" t="s">
        <v>45</v>
      </c>
      <c r="E44" s="6">
        <v>0.8</v>
      </c>
      <c r="F44" s="2">
        <v>0.8</v>
      </c>
      <c r="G44" s="2">
        <v>0.8</v>
      </c>
      <c r="H44" s="2">
        <v>0.8</v>
      </c>
      <c r="I44" s="2">
        <v>0.8</v>
      </c>
      <c r="J44" s="2">
        <v>0.8</v>
      </c>
      <c r="K44" s="2">
        <v>0.8</v>
      </c>
      <c r="L44" s="2">
        <v>0.8</v>
      </c>
      <c r="M44" s="2">
        <v>0.8</v>
      </c>
    </row>
    <row r="45" spans="2:13" hidden="1" x14ac:dyDescent="0.25">
      <c r="B45" s="4"/>
      <c r="C45" s="213"/>
      <c r="D45" s="7" t="s">
        <v>46</v>
      </c>
      <c r="E45" s="6">
        <v>1</v>
      </c>
      <c r="F45" s="2">
        <v>1.2</v>
      </c>
      <c r="G45" s="2">
        <v>1.3</v>
      </c>
      <c r="H45" s="2">
        <v>1.4</v>
      </c>
      <c r="I45" s="2">
        <v>1.6</v>
      </c>
      <c r="J45" s="2">
        <v>1.7</v>
      </c>
      <c r="K45" s="2">
        <v>2</v>
      </c>
      <c r="L45" s="2">
        <v>2.2999999999999998</v>
      </c>
      <c r="M45" s="2">
        <v>2.6</v>
      </c>
    </row>
    <row r="46" spans="2:13" hidden="1" x14ac:dyDescent="0.25">
      <c r="B46" s="3" t="s">
        <v>17</v>
      </c>
      <c r="C46" s="212" t="s">
        <v>14</v>
      </c>
      <c r="D46" s="7" t="s">
        <v>45</v>
      </c>
      <c r="E46" s="6">
        <v>1</v>
      </c>
      <c r="F46" s="2">
        <v>1</v>
      </c>
      <c r="G46" s="2">
        <v>1</v>
      </c>
      <c r="H46" s="2">
        <v>1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</row>
    <row r="47" spans="2:13" hidden="1" x14ac:dyDescent="0.25">
      <c r="B47" s="4"/>
      <c r="C47" s="213"/>
      <c r="D47" s="7" t="s">
        <v>46</v>
      </c>
      <c r="E47" s="6">
        <v>1.2</v>
      </c>
      <c r="F47" s="2">
        <v>1.3</v>
      </c>
      <c r="G47" s="2">
        <v>1.5</v>
      </c>
      <c r="H47" s="2">
        <v>1.6</v>
      </c>
      <c r="I47" s="2">
        <v>1.7</v>
      </c>
      <c r="J47" s="2">
        <v>1.9</v>
      </c>
      <c r="K47" s="2">
        <v>2.2000000000000002</v>
      </c>
      <c r="L47" s="2">
        <v>2.5</v>
      </c>
      <c r="M47" s="2">
        <v>2.8</v>
      </c>
    </row>
    <row r="48" spans="2:13" hidden="1" x14ac:dyDescent="0.25">
      <c r="B48" s="3" t="s">
        <v>18</v>
      </c>
      <c r="C48" s="212" t="s">
        <v>14</v>
      </c>
      <c r="D48" s="7" t="s">
        <v>45</v>
      </c>
      <c r="E48" s="6">
        <v>1.2</v>
      </c>
      <c r="F48" s="2">
        <v>1.2</v>
      </c>
      <c r="G48" s="2">
        <v>1.2</v>
      </c>
      <c r="H48" s="2">
        <v>1.2</v>
      </c>
      <c r="I48" s="2">
        <v>1.2</v>
      </c>
      <c r="J48" s="2">
        <v>1.2</v>
      </c>
      <c r="K48" s="2">
        <v>1.2</v>
      </c>
      <c r="L48" s="2">
        <v>1.2</v>
      </c>
      <c r="M48" s="2">
        <v>1.2</v>
      </c>
    </row>
    <row r="49" spans="2:13" hidden="1" x14ac:dyDescent="0.25">
      <c r="B49" s="4"/>
      <c r="C49" s="213"/>
      <c r="D49" s="7" t="s">
        <v>46</v>
      </c>
      <c r="E49" s="6">
        <v>1.4</v>
      </c>
      <c r="F49" s="2">
        <v>1.5</v>
      </c>
      <c r="G49" s="2">
        <v>1.6</v>
      </c>
      <c r="H49" s="2">
        <v>1.8</v>
      </c>
      <c r="I49" s="2">
        <v>1.9</v>
      </c>
      <c r="J49" s="2">
        <v>2.1</v>
      </c>
      <c r="K49" s="2">
        <v>2.4</v>
      </c>
      <c r="L49" s="2">
        <v>2.7</v>
      </c>
      <c r="M49" s="2">
        <v>2.9</v>
      </c>
    </row>
    <row r="50" spans="2:13" hidden="1" x14ac:dyDescent="0.25">
      <c r="B50" s="3" t="s">
        <v>19</v>
      </c>
      <c r="C50" s="212" t="s">
        <v>14</v>
      </c>
      <c r="D50" s="7" t="s">
        <v>45</v>
      </c>
      <c r="E50" s="6">
        <v>1.3</v>
      </c>
      <c r="F50" s="2">
        <v>1.3</v>
      </c>
      <c r="G50" s="2">
        <v>1.3</v>
      </c>
      <c r="H50" s="2">
        <v>1.3</v>
      </c>
      <c r="I50" s="2">
        <v>1.3</v>
      </c>
      <c r="J50" s="2">
        <v>1.3</v>
      </c>
      <c r="K50" s="2">
        <v>1.3</v>
      </c>
      <c r="L50" s="2">
        <v>1.3</v>
      </c>
      <c r="M50" s="2">
        <v>1.3</v>
      </c>
    </row>
    <row r="51" spans="2:13" hidden="1" x14ac:dyDescent="0.25">
      <c r="B51" s="4"/>
      <c r="C51" s="213"/>
      <c r="D51" s="7" t="s">
        <v>46</v>
      </c>
      <c r="E51" s="6">
        <v>1.6</v>
      </c>
      <c r="F51" s="2">
        <v>1.7</v>
      </c>
      <c r="G51" s="2">
        <v>1.8</v>
      </c>
      <c r="H51" s="2">
        <v>1.9</v>
      </c>
      <c r="I51" s="2">
        <v>2.1</v>
      </c>
      <c r="J51" s="2">
        <v>2.2000000000000002</v>
      </c>
      <c r="K51" s="2">
        <v>2.5</v>
      </c>
      <c r="L51" s="2">
        <v>2.8</v>
      </c>
      <c r="M51" s="2">
        <v>3.1</v>
      </c>
    </row>
    <row r="52" spans="2:13" hidden="1" x14ac:dyDescent="0.25">
      <c r="B52" s="13" t="s">
        <v>20</v>
      </c>
      <c r="C52" s="212" t="s">
        <v>14</v>
      </c>
      <c r="D52" s="7" t="s">
        <v>45</v>
      </c>
      <c r="E52" s="6">
        <v>1.5</v>
      </c>
      <c r="F52" s="2">
        <v>1.5</v>
      </c>
      <c r="G52" s="2">
        <v>1.5</v>
      </c>
      <c r="H52" s="2">
        <v>1.5</v>
      </c>
      <c r="I52" s="2">
        <v>1.5</v>
      </c>
      <c r="J52" s="2">
        <v>1.5</v>
      </c>
      <c r="K52" s="2">
        <v>1.5</v>
      </c>
      <c r="L52" s="2">
        <v>1.5</v>
      </c>
      <c r="M52" s="2">
        <v>1.5</v>
      </c>
    </row>
    <row r="53" spans="2:13" hidden="1" x14ac:dyDescent="0.25">
      <c r="B53" s="24"/>
      <c r="C53" s="226"/>
      <c r="D53" s="7" t="s">
        <v>46</v>
      </c>
      <c r="E53" s="8">
        <v>1.7</v>
      </c>
      <c r="F53" s="1">
        <v>1.8</v>
      </c>
      <c r="G53" s="1">
        <v>2</v>
      </c>
      <c r="H53" s="1">
        <v>2.1</v>
      </c>
      <c r="I53" s="1">
        <v>2.2000000000000002</v>
      </c>
      <c r="J53" s="1">
        <v>2.4</v>
      </c>
      <c r="K53" s="1">
        <v>2.7</v>
      </c>
      <c r="L53" s="1">
        <v>3</v>
      </c>
      <c r="M53" s="1">
        <v>3.3</v>
      </c>
    </row>
    <row r="54" spans="2:13" hidden="1" x14ac:dyDescent="0.25">
      <c r="B54" s="25" t="s">
        <v>21</v>
      </c>
      <c r="C54" s="225" t="s">
        <v>14</v>
      </c>
      <c r="D54" s="7" t="s">
        <v>45</v>
      </c>
      <c r="E54" s="5">
        <v>1.7</v>
      </c>
      <c r="F54" s="5">
        <v>1.7</v>
      </c>
      <c r="G54" s="5">
        <v>1.7</v>
      </c>
      <c r="H54" s="5">
        <v>1.7</v>
      </c>
      <c r="I54" s="5">
        <v>1.7</v>
      </c>
      <c r="J54" s="5">
        <v>1.7</v>
      </c>
      <c r="K54" s="5">
        <v>1.7</v>
      </c>
      <c r="L54" s="5">
        <v>1.7</v>
      </c>
      <c r="M54" s="5">
        <v>1.7</v>
      </c>
    </row>
    <row r="55" spans="2:13" hidden="1" x14ac:dyDescent="0.25">
      <c r="B55" s="27"/>
      <c r="C55" s="225"/>
      <c r="D55" s="7" t="s">
        <v>46</v>
      </c>
      <c r="E55" s="5">
        <v>1.9</v>
      </c>
      <c r="F55" s="5">
        <v>2</v>
      </c>
      <c r="G55" s="5">
        <v>2.1</v>
      </c>
      <c r="H55" s="5">
        <v>2.2999999999999998</v>
      </c>
      <c r="I55" s="5">
        <v>2.4</v>
      </c>
      <c r="J55" s="5">
        <v>2.6</v>
      </c>
      <c r="K55" s="5">
        <v>2.9</v>
      </c>
      <c r="L55" s="5">
        <v>3.2</v>
      </c>
      <c r="M55" s="5">
        <v>3.4</v>
      </c>
    </row>
    <row r="56" spans="2:13" hidden="1" x14ac:dyDescent="0.25">
      <c r="B56" s="25" t="s">
        <v>90</v>
      </c>
      <c r="C56" s="225" t="s">
        <v>14</v>
      </c>
      <c r="D56" s="7" t="s">
        <v>45</v>
      </c>
    </row>
    <row r="57" spans="2:13" hidden="1" x14ac:dyDescent="0.25">
      <c r="B57" s="26"/>
      <c r="C57" s="225"/>
      <c r="D57" s="7" t="s">
        <v>46</v>
      </c>
    </row>
    <row r="58" spans="2:13" hidden="1" x14ac:dyDescent="0.25">
      <c r="B58" s="27" t="s">
        <v>91</v>
      </c>
      <c r="C58" s="225" t="s">
        <v>14</v>
      </c>
      <c r="D58" s="7" t="s">
        <v>45</v>
      </c>
    </row>
    <row r="59" spans="2:13" hidden="1" x14ac:dyDescent="0.25">
      <c r="C59" s="225"/>
      <c r="D59" s="7" t="s">
        <v>46</v>
      </c>
    </row>
    <row r="60" spans="2:13" hidden="1" x14ac:dyDescent="0.25">
      <c r="B60" t="s">
        <v>92</v>
      </c>
      <c r="C60" s="225" t="s">
        <v>14</v>
      </c>
      <c r="D60" s="7" t="s">
        <v>45</v>
      </c>
    </row>
    <row r="61" spans="2:13" hidden="1" x14ac:dyDescent="0.25">
      <c r="C61" s="225"/>
      <c r="D61" s="7" t="s">
        <v>46</v>
      </c>
    </row>
    <row r="62" spans="2:13" hidden="1" x14ac:dyDescent="0.25">
      <c r="B62" t="s">
        <v>93</v>
      </c>
      <c r="C62" s="225" t="s">
        <v>14</v>
      </c>
      <c r="D62" s="7" t="s">
        <v>45</v>
      </c>
    </row>
    <row r="63" spans="2:13" hidden="1" x14ac:dyDescent="0.25">
      <c r="C63" s="225"/>
      <c r="D63" s="7" t="s">
        <v>46</v>
      </c>
    </row>
    <row r="64" spans="2:13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</sheetData>
  <sheetProtection password="C7BD" sheet="1" objects="1" scenarios="1" selectLockedCells="1" selectUnlockedCells="1"/>
  <mergeCells count="32">
    <mergeCell ref="C56:C57"/>
    <mergeCell ref="C58:C59"/>
    <mergeCell ref="C60:C61"/>
    <mergeCell ref="C62:C63"/>
    <mergeCell ref="C44:C45"/>
    <mergeCell ref="C46:C47"/>
    <mergeCell ref="C48:C49"/>
    <mergeCell ref="C50:C51"/>
    <mergeCell ref="C52:C53"/>
    <mergeCell ref="C54:C55"/>
    <mergeCell ref="C40:C41"/>
    <mergeCell ref="C42:C43"/>
    <mergeCell ref="C10:C11"/>
    <mergeCell ref="C6:D6"/>
    <mergeCell ref="C9:D9"/>
    <mergeCell ref="C12:D12"/>
    <mergeCell ref="C15:D15"/>
    <mergeCell ref="C28:C29"/>
    <mergeCell ref="C25:C26"/>
    <mergeCell ref="C22:C23"/>
    <mergeCell ref="C19:C20"/>
    <mergeCell ref="C16:C17"/>
    <mergeCell ref="C18:D18"/>
    <mergeCell ref="C21:D21"/>
    <mergeCell ref="C24:D24"/>
    <mergeCell ref="C27:D27"/>
    <mergeCell ref="C7:C8"/>
    <mergeCell ref="B3:M3"/>
    <mergeCell ref="C13:C14"/>
    <mergeCell ref="B4:B5"/>
    <mergeCell ref="C4:D5"/>
    <mergeCell ref="E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157"/>
  <sheetViews>
    <sheetView topLeftCell="J1" workbookViewId="0">
      <selection activeCell="J2" sqref="A2:XFD157"/>
    </sheetView>
  </sheetViews>
  <sheetFormatPr defaultRowHeight="15" x14ac:dyDescent="0.25"/>
  <cols>
    <col min="1" max="1" width="23.42578125" customWidth="1"/>
    <col min="2" max="2" width="39.42578125" customWidth="1"/>
    <col min="7" max="7" width="6.7109375" customWidth="1"/>
    <col min="8" max="8" width="6.42578125" customWidth="1"/>
    <col min="9" max="9" width="6.7109375" customWidth="1"/>
    <col min="10" max="22" width="12.42578125" customWidth="1"/>
    <col min="23" max="58" width="7.140625" customWidth="1"/>
    <col min="72" max="72" width="13.5703125" customWidth="1"/>
  </cols>
  <sheetData>
    <row r="2" spans="1:82" hidden="1" x14ac:dyDescent="0.25"/>
    <row r="3" spans="1:82" hidden="1" x14ac:dyDescent="0.25"/>
    <row r="4" spans="1:82" ht="15.75" hidden="1" thickBot="1" x14ac:dyDescent="0.3">
      <c r="J4" s="239" t="s">
        <v>104</v>
      </c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0"/>
      <c r="W4" s="239" t="s">
        <v>103</v>
      </c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40"/>
      <c r="AI4" s="238" t="s">
        <v>97</v>
      </c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 t="s">
        <v>102</v>
      </c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</row>
    <row r="5" spans="1:82" ht="60" hidden="1" x14ac:dyDescent="0.25">
      <c r="B5" s="28" t="s">
        <v>25</v>
      </c>
      <c r="C5" s="28" t="s">
        <v>100</v>
      </c>
      <c r="D5" s="28" t="s">
        <v>26</v>
      </c>
      <c r="E5" s="28" t="s">
        <v>27</v>
      </c>
      <c r="F5" s="40" t="s">
        <v>28</v>
      </c>
      <c r="G5" s="231" t="s">
        <v>98</v>
      </c>
      <c r="H5" s="232"/>
      <c r="I5" s="233"/>
      <c r="J5" s="56">
        <v>0.3</v>
      </c>
      <c r="K5" s="67">
        <v>0.4</v>
      </c>
      <c r="L5" s="67">
        <v>0.5</v>
      </c>
      <c r="M5" s="67">
        <v>0.6</v>
      </c>
      <c r="N5" s="67">
        <v>0.7</v>
      </c>
      <c r="O5" s="67">
        <v>0.8</v>
      </c>
      <c r="P5" s="67">
        <v>0.9</v>
      </c>
      <c r="Q5" s="67">
        <v>1</v>
      </c>
      <c r="R5" s="67">
        <v>1.5</v>
      </c>
      <c r="S5" s="67">
        <v>2</v>
      </c>
      <c r="T5" s="67">
        <v>2.5</v>
      </c>
      <c r="U5" s="61">
        <v>3</v>
      </c>
      <c r="V5" s="65"/>
      <c r="W5" s="56">
        <v>0.3</v>
      </c>
      <c r="X5" s="67">
        <v>0.4</v>
      </c>
      <c r="Y5" s="67">
        <v>0.5</v>
      </c>
      <c r="Z5" s="67">
        <v>0.6</v>
      </c>
      <c r="AA5" s="67">
        <v>0.7</v>
      </c>
      <c r="AB5" s="67">
        <v>0.8</v>
      </c>
      <c r="AC5" s="67">
        <v>0.9</v>
      </c>
      <c r="AD5" s="67">
        <v>1</v>
      </c>
      <c r="AE5" s="67">
        <v>1.5</v>
      </c>
      <c r="AF5" s="67">
        <v>2</v>
      </c>
      <c r="AG5" s="67">
        <v>2.5</v>
      </c>
      <c r="AH5" s="61">
        <v>3</v>
      </c>
      <c r="AI5" s="65">
        <v>0.3</v>
      </c>
      <c r="AJ5" s="60">
        <v>0.4</v>
      </c>
      <c r="AK5" s="60">
        <v>0.5</v>
      </c>
      <c r="AL5" s="60">
        <v>0.6</v>
      </c>
      <c r="AM5" s="60">
        <v>0.7</v>
      </c>
      <c r="AN5" s="60">
        <v>0.8</v>
      </c>
      <c r="AO5" s="60">
        <v>0.9</v>
      </c>
      <c r="AP5" s="60">
        <v>1</v>
      </c>
      <c r="AQ5" s="60">
        <v>1.5</v>
      </c>
      <c r="AR5" s="60">
        <v>2</v>
      </c>
      <c r="AS5" s="60">
        <v>2.5</v>
      </c>
      <c r="AT5" s="61">
        <v>3</v>
      </c>
      <c r="AU5" s="56">
        <v>0.3</v>
      </c>
      <c r="AV5" s="57">
        <v>0.4</v>
      </c>
      <c r="AW5" s="58">
        <v>0.5</v>
      </c>
      <c r="AX5" s="58">
        <v>0.6</v>
      </c>
      <c r="AY5" s="58">
        <v>0.7</v>
      </c>
      <c r="AZ5" s="58">
        <v>0.8</v>
      </c>
      <c r="BA5" s="58">
        <v>0.9</v>
      </c>
      <c r="BB5" s="58">
        <v>1</v>
      </c>
      <c r="BC5" s="58">
        <v>1.5</v>
      </c>
      <c r="BD5" s="58">
        <v>2</v>
      </c>
      <c r="BE5" s="58">
        <v>2.5</v>
      </c>
      <c r="BF5" s="63">
        <v>3</v>
      </c>
      <c r="BG5" s="56">
        <v>0.3</v>
      </c>
      <c r="BH5" s="57">
        <v>0.4</v>
      </c>
      <c r="BI5" s="58">
        <v>0.5</v>
      </c>
      <c r="BJ5" s="58">
        <v>0.6</v>
      </c>
      <c r="BK5" s="58">
        <v>0.7</v>
      </c>
      <c r="BL5" s="58">
        <v>0.8</v>
      </c>
      <c r="BM5" s="58">
        <v>0.9</v>
      </c>
      <c r="BN5" s="58">
        <v>1</v>
      </c>
      <c r="BO5" s="58">
        <v>1.5</v>
      </c>
      <c r="BP5" s="58">
        <v>2</v>
      </c>
      <c r="BQ5" s="58">
        <v>2.5</v>
      </c>
      <c r="BR5" s="59">
        <v>3</v>
      </c>
      <c r="BS5" s="36" t="s">
        <v>134</v>
      </c>
      <c r="BT5" s="28" t="s">
        <v>30</v>
      </c>
    </row>
    <row r="6" spans="1:82" ht="30" hidden="1" customHeight="1" thickBot="1" x14ac:dyDescent="0.3">
      <c r="B6" s="28"/>
      <c r="C6" s="28"/>
      <c r="D6" s="28"/>
      <c r="E6" s="28"/>
      <c r="F6" s="40"/>
      <c r="G6" s="44" t="s">
        <v>94</v>
      </c>
      <c r="H6" s="28" t="s">
        <v>95</v>
      </c>
      <c r="I6" s="45" t="s">
        <v>96</v>
      </c>
      <c r="J6" s="44"/>
      <c r="K6" s="28"/>
      <c r="L6" s="28"/>
      <c r="M6" s="28"/>
      <c r="N6" s="28"/>
      <c r="O6" s="28"/>
      <c r="P6" s="28"/>
      <c r="Q6" s="28"/>
      <c r="R6" s="28"/>
      <c r="S6" s="28"/>
      <c r="T6" s="28"/>
      <c r="U6" s="45"/>
      <c r="V6" s="83"/>
      <c r="W6" s="44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45"/>
      <c r="AI6" s="236" t="s">
        <v>99</v>
      </c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7"/>
      <c r="AU6" s="235" t="s">
        <v>24</v>
      </c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5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7"/>
      <c r="BS6" s="36"/>
      <c r="BT6" s="28"/>
    </row>
    <row r="7" spans="1:82" ht="15.75" hidden="1" thickBot="1" x14ac:dyDescent="0.3">
      <c r="A7" s="246" t="s">
        <v>87</v>
      </c>
      <c r="B7" s="29" t="s">
        <v>132</v>
      </c>
      <c r="C7" s="30">
        <v>16</v>
      </c>
      <c r="D7" s="30">
        <v>39.700000000000003</v>
      </c>
      <c r="E7" s="30" t="s">
        <v>72</v>
      </c>
      <c r="F7" s="41" t="s">
        <v>74</v>
      </c>
      <c r="G7" s="46">
        <v>0.53</v>
      </c>
      <c r="H7" s="30">
        <v>0.05</v>
      </c>
      <c r="I7" s="47">
        <v>7.0000000000000007E-2</v>
      </c>
      <c r="J7" s="46">
        <f>W7*$BT7</f>
        <v>6070</v>
      </c>
      <c r="K7" s="43">
        <f t="shared" ref="K7:U7" si="0">X7*$BT7</f>
        <v>12140</v>
      </c>
      <c r="L7" s="43">
        <f t="shared" si="0"/>
        <v>12140</v>
      </c>
      <c r="M7" s="43">
        <f t="shared" si="0"/>
        <v>18210</v>
      </c>
      <c r="N7" s="43">
        <f t="shared" si="0"/>
        <v>24280</v>
      </c>
      <c r="O7" s="43">
        <f t="shared" si="0"/>
        <v>30350</v>
      </c>
      <c r="P7" s="43">
        <f t="shared" si="0"/>
        <v>18210</v>
      </c>
      <c r="Q7" s="43">
        <f t="shared" si="0"/>
        <v>21245</v>
      </c>
      <c r="R7" s="43">
        <f t="shared" si="0"/>
        <v>42490</v>
      </c>
      <c r="S7" s="43">
        <f t="shared" si="0"/>
        <v>72840</v>
      </c>
      <c r="T7" s="43">
        <f t="shared" si="0"/>
        <v>106225</v>
      </c>
      <c r="U7" s="71">
        <f t="shared" si="0"/>
        <v>151750</v>
      </c>
      <c r="V7" s="82">
        <f>MIN(J7:U7)</f>
        <v>6070</v>
      </c>
      <c r="W7" s="46">
        <f>IF(ROUND((Расчет!$E$6/'Лист 2'!AI7),0)=0,1,CEILING((Расчет!$E$6/'Лист 2'!AI7),1))*IF(ROUND((Расчет!$F$6/'Лист 2'!AU7),0)=0,1,CEILING((Расчет!$F$6/'Лист 2'!AU7),1))*IF(ROUND((Расчет!$D$6/BG7),0)=0,1,CEILING((Расчет!$D$6/BG7),1))</f>
        <v>2</v>
      </c>
      <c r="X7" s="43">
        <f>IF(ROUND((Расчет!$E$6/'Лист 2'!AJ7),0)=0,1,CEILING((Расчет!$E$6/'Лист 2'!AJ7),1))*IF(ROUND((Расчет!$F$6/'Лист 2'!AV7),0)=0,1,CEILING((Расчет!$F$6/'Лист 2'!AV7),1))*IF(ROUND((Расчет!$D$6/BH7),0)=0,1,CEILING((Расчет!$D$6/BH7),1))</f>
        <v>4</v>
      </c>
      <c r="Y7" s="43">
        <f>IF(ROUND((Расчет!$E$6/'Лист 2'!AK7),0)=0,1,CEILING((Расчет!$E$6/'Лист 2'!AK7),1))*IF(ROUND((Расчет!$F$6/'Лист 2'!AW7),0)=0,1,CEILING((Расчет!$F$6/'Лист 2'!AW7),1))*IF(ROUND((Расчет!$D$6/BI7),0)=0,1,CEILING((Расчет!$D$6/BI7),1))</f>
        <v>4</v>
      </c>
      <c r="Z7" s="43">
        <f>IF(ROUND((Расчет!$E$6/'Лист 2'!AL7),0)=0,1,CEILING((Расчет!$E$6/'Лист 2'!AL7),1))*IF(ROUND((Расчет!$F$6/'Лист 2'!AX7),0)=0,1,CEILING((Расчет!$F$6/'Лист 2'!AX7),1))*IF(ROUND((Расчет!$D$6/BJ7),0)=0,1,CEILING((Расчет!$D$6/BJ7),1))</f>
        <v>6</v>
      </c>
      <c r="AA7" s="43">
        <f>IF(ROUND((Расчет!$E$6/'Лист 2'!AM7),0)=0,1,CEILING((Расчет!$E$6/'Лист 2'!AM7),1))*IF(ROUND((Расчет!$F$6/'Лист 2'!AY7),0)=0,1,CEILING((Расчет!$F$6/'Лист 2'!AY7),1))*IF(ROUND((Расчет!$D$6/BK7),0)=0,1,CEILING((Расчет!$D$6/BK7),1))</f>
        <v>8</v>
      </c>
      <c r="AB7" s="43">
        <f>IF(ROUND((Расчет!$E$6/'Лист 2'!AN7),0)=0,1,CEILING((Расчет!$E$6/'Лист 2'!AN7),1))*IF(ROUND((Расчет!$F$6/'Лист 2'!AZ7),0)=0,1,CEILING((Расчет!$F$6/'Лист 2'!AZ7),1))*IF(ROUND((Расчет!$D$6/BL7),0)=0,1,CEILING((Расчет!$D$6/BL7),1))</f>
        <v>10</v>
      </c>
      <c r="AC7" s="43">
        <f>IF(ROUND((Расчет!$E$6/'Лист 2'!AO7),0)=0,1,CEILING((Расчет!$E$6/'Лист 2'!AO7),1))*IF(ROUND((Расчет!$F$6/'Лист 2'!BA7),0)=0,1,CEILING((Расчет!$F$6/'Лист 2'!BA7),1))*IF(ROUND((Расчет!$D$6/BM7),0)=0,1,CEILING((Расчет!$D$6/BM7),1))</f>
        <v>6</v>
      </c>
      <c r="AD7" s="43">
        <f>IF(ROUND((Расчет!$E$6/'Лист 2'!AP7),0)=0,1,CEILING((Расчет!$E$6/'Лист 2'!AP7),1))*IF(ROUND((Расчет!$F$6/'Лист 2'!BB7),0)=0,1,CEILING((Расчет!$F$6/'Лист 2'!BB7),1))*IF(ROUND((Расчет!$D$6/BN7),0)=0,1,CEILING((Расчет!$D$6/BN7),1))</f>
        <v>7</v>
      </c>
      <c r="AE7" s="43">
        <f>IF(ROUND((Расчет!$E$6/'Лист 2'!AQ7),0)=0,1,CEILING((Расчет!$E$6/'Лист 2'!AQ7),1))*IF(ROUND((Расчет!$F$6/'Лист 2'!BC7),0)=0,1,CEILING((Расчет!$F$6/'Лист 2'!BC7),1))*IF(ROUND((Расчет!$D$6/BO7),0)=0,1,CEILING((Расчет!$D$6/BO7),1))</f>
        <v>14</v>
      </c>
      <c r="AF7" s="43">
        <f>IF(ROUND((Расчет!$E$6/'Лист 2'!AR7),0)=0,1,CEILING((Расчет!$E$6/'Лист 2'!AR7),1))*IF(ROUND((Расчет!$F$6/'Лист 2'!BD7),0)=0,1,CEILING((Расчет!$F$6/'Лист 2'!BD7),1))*IF(ROUND((Расчет!$D$6/BP7),0)=0,1,CEILING((Расчет!$D$6/BP7),1))</f>
        <v>24</v>
      </c>
      <c r="AG7" s="43">
        <f>IF(ROUND((Расчет!$E$6/'Лист 2'!AS7),0)=0,1,CEILING((Расчет!$E$6/'Лист 2'!AS7),1))*IF(ROUND((Расчет!$F$6/'Лист 2'!BE7),0)=0,1,CEILING((Расчет!$F$6/'Лист 2'!BE7),1))*IF(ROUND((Расчет!$D$6/BQ7),0)=0,1,CEILING((Расчет!$D$6/BQ7),1))</f>
        <v>35</v>
      </c>
      <c r="AH7" s="71">
        <f>IF(ROUND((Расчет!$E$6/'Лист 2'!AT7),0)=0,1,CEILING((Расчет!$E$6/'Лист 2'!AT7),1))*IF(ROUND((Расчет!$F$6/'Лист 2'!BF7),0)=0,1,CEILING((Расчет!$F$6/'Лист 2'!BF7),1))*IF(ROUND((Расчет!$D$6/BR7),0)=0,1,CEILING((Расчет!$D$6/BR7),1))</f>
        <v>50</v>
      </c>
      <c r="AI7" s="43">
        <f t="shared" ref="AI7:AT12" si="1">ROUND(((AI$5*TAN(3.14*2*$C$35/720))*2+$G7),1)</f>
        <v>1</v>
      </c>
      <c r="AJ7" s="30">
        <f t="shared" si="1"/>
        <v>1.2</v>
      </c>
      <c r="AK7" s="30">
        <f t="shared" si="1"/>
        <v>1.4</v>
      </c>
      <c r="AL7" s="30">
        <f t="shared" si="1"/>
        <v>1.5</v>
      </c>
      <c r="AM7" s="30">
        <f t="shared" si="1"/>
        <v>1.7</v>
      </c>
      <c r="AN7" s="30">
        <f t="shared" si="1"/>
        <v>1.9</v>
      </c>
      <c r="AO7" s="30">
        <f t="shared" si="1"/>
        <v>2</v>
      </c>
      <c r="AP7" s="30">
        <f t="shared" si="1"/>
        <v>2.2000000000000002</v>
      </c>
      <c r="AQ7" s="30">
        <f t="shared" si="1"/>
        <v>3</v>
      </c>
      <c r="AR7" s="30">
        <f t="shared" si="1"/>
        <v>3.9</v>
      </c>
      <c r="AS7" s="30">
        <f t="shared" si="1"/>
        <v>4.7</v>
      </c>
      <c r="AT7" s="47">
        <f t="shared" si="1"/>
        <v>5.6</v>
      </c>
      <c r="AU7" s="46">
        <f t="shared" ref="AU7:BF12" si="2">ROUND(((AU$5*TAN(3.14*2*$C$35/720))*2),1)</f>
        <v>0.5</v>
      </c>
      <c r="AV7" s="30">
        <f t="shared" si="2"/>
        <v>0.7</v>
      </c>
      <c r="AW7" s="30">
        <f t="shared" si="2"/>
        <v>0.8</v>
      </c>
      <c r="AX7" s="30">
        <f t="shared" si="2"/>
        <v>1</v>
      </c>
      <c r="AY7" s="30">
        <f t="shared" si="2"/>
        <v>1.2</v>
      </c>
      <c r="AZ7" s="30">
        <f t="shared" si="2"/>
        <v>1.3</v>
      </c>
      <c r="BA7" s="30">
        <f t="shared" si="2"/>
        <v>1.5</v>
      </c>
      <c r="BB7" s="30">
        <f t="shared" si="2"/>
        <v>1.7</v>
      </c>
      <c r="BC7" s="30">
        <f t="shared" si="2"/>
        <v>2.5</v>
      </c>
      <c r="BD7" s="30">
        <f t="shared" si="2"/>
        <v>3.4</v>
      </c>
      <c r="BE7" s="30">
        <f t="shared" si="2"/>
        <v>4.2</v>
      </c>
      <c r="BF7" s="53">
        <f t="shared" si="2"/>
        <v>5</v>
      </c>
      <c r="BG7" s="46">
        <f t="shared" ref="BG7:BR12" si="3">$D7/(AU7*AI7)</f>
        <v>79.400000000000006</v>
      </c>
      <c r="BH7" s="30">
        <f t="shared" si="3"/>
        <v>47.261904761904766</v>
      </c>
      <c r="BI7" s="30">
        <f t="shared" si="3"/>
        <v>35.446428571428577</v>
      </c>
      <c r="BJ7" s="30">
        <f t="shared" si="3"/>
        <v>26.466666666666669</v>
      </c>
      <c r="BK7" s="30">
        <f t="shared" si="3"/>
        <v>19.46078431372549</v>
      </c>
      <c r="BL7" s="30">
        <f t="shared" si="3"/>
        <v>16.072874493927127</v>
      </c>
      <c r="BM7" s="30">
        <f t="shared" si="3"/>
        <v>13.233333333333334</v>
      </c>
      <c r="BN7" s="30">
        <f t="shared" si="3"/>
        <v>10.614973262032086</v>
      </c>
      <c r="BO7" s="30">
        <f t="shared" si="3"/>
        <v>5.2933333333333339</v>
      </c>
      <c r="BP7" s="30">
        <f t="shared" si="3"/>
        <v>2.9939668174962297</v>
      </c>
      <c r="BQ7" s="30">
        <f t="shared" si="3"/>
        <v>2.0111448834853092</v>
      </c>
      <c r="BR7" s="47">
        <f t="shared" si="3"/>
        <v>1.4178571428571429</v>
      </c>
      <c r="BS7" s="43">
        <v>0.8</v>
      </c>
      <c r="BT7" s="164">
        <v>3035</v>
      </c>
    </row>
    <row r="8" spans="1:82" hidden="1" x14ac:dyDescent="0.25">
      <c r="A8" s="246"/>
      <c r="B8" s="29" t="s">
        <v>71</v>
      </c>
      <c r="C8" s="30">
        <v>24</v>
      </c>
      <c r="D8" s="30">
        <v>52.8</v>
      </c>
      <c r="E8" s="30" t="s">
        <v>72</v>
      </c>
      <c r="F8" s="41" t="s">
        <v>32</v>
      </c>
      <c r="G8" s="46">
        <v>0.63</v>
      </c>
      <c r="H8" s="30">
        <v>0.05</v>
      </c>
      <c r="I8" s="47">
        <v>7.0000000000000007E-2</v>
      </c>
      <c r="J8" s="46">
        <f>W8*$BT8</f>
        <v>8350</v>
      </c>
      <c r="K8" s="134">
        <f t="shared" ref="K8" si="4">X8*$BT8</f>
        <v>16700</v>
      </c>
      <c r="L8" s="134">
        <f t="shared" ref="L8" si="5">Y8*$BT8</f>
        <v>16700</v>
      </c>
      <c r="M8" s="134">
        <f t="shared" ref="M8" si="6">Z8*$BT8</f>
        <v>25050</v>
      </c>
      <c r="N8" s="134">
        <f t="shared" ref="N8" si="7">AA8*$BT8</f>
        <v>25050</v>
      </c>
      <c r="O8" s="134">
        <f t="shared" ref="O8" si="8">AB8*$BT8</f>
        <v>16700</v>
      </c>
      <c r="P8" s="134">
        <f t="shared" ref="P8" si="9">AC8*$BT8</f>
        <v>20875</v>
      </c>
      <c r="Q8" s="134">
        <f t="shared" ref="Q8" si="10">AD8*$BT8</f>
        <v>25050</v>
      </c>
      <c r="R8" s="134">
        <f t="shared" ref="R8" si="11">AE8*$BT8</f>
        <v>45925</v>
      </c>
      <c r="S8" s="134">
        <f t="shared" ref="S8" si="12">AF8*$BT8</f>
        <v>79325</v>
      </c>
      <c r="T8" s="134">
        <f t="shared" ref="T8" si="13">AG8*$BT8</f>
        <v>112725</v>
      </c>
      <c r="U8" s="71">
        <f t="shared" ref="U8" si="14">AH8*$BT8</f>
        <v>158650</v>
      </c>
      <c r="V8" s="82">
        <f>MIN(J8:U8)</f>
        <v>8350</v>
      </c>
      <c r="W8" s="46">
        <f>IF(ROUND((Расчет!$E$6/'Лист 2'!AI8),0)=0,1,CEILING((Расчет!$E$6/'Лист 2'!AI8),1))*IF(ROUND((Расчет!$F$6/'Лист 2'!AU8),0)=0,1,CEILING((Расчет!$F$6/'Лист 2'!AU8),1))*IF(ROUND((Расчет!$D$6/BG8),0)=0,1,CEILING((Расчет!$D$6/BG8),1))</f>
        <v>2</v>
      </c>
      <c r="X8" s="134">
        <f>IF(ROUND((Расчет!$E$6/'Лист 2'!AJ8),0)=0,1,CEILING((Расчет!$E$6/'Лист 2'!AJ8),1))*IF(ROUND((Расчет!$F$6/'Лист 2'!AV8),0)=0,1,CEILING((Расчет!$F$6/'Лист 2'!AV8),1))*IF(ROUND((Расчет!$D$6/BH8),0)=0,1,CEILING((Расчет!$D$6/BH8),1))</f>
        <v>4</v>
      </c>
      <c r="Y8" s="134">
        <f>IF(ROUND((Расчет!$E$6/'Лист 2'!AK8),0)=0,1,CEILING((Расчет!$E$6/'Лист 2'!AK8),1))*IF(ROUND((Расчет!$F$6/'Лист 2'!AW8),0)=0,1,CEILING((Расчет!$F$6/'Лист 2'!AW8),1))*IF(ROUND((Расчет!$D$6/BI8),0)=0,1,CEILING((Расчет!$D$6/BI8),1))</f>
        <v>4</v>
      </c>
      <c r="Z8" s="134">
        <f>IF(ROUND((Расчет!$E$6/'Лист 2'!AL8),0)=0,1,CEILING((Расчет!$E$6/'Лист 2'!AL8),1))*IF(ROUND((Расчет!$F$6/'Лист 2'!AX8),0)=0,1,CEILING((Расчет!$F$6/'Лист 2'!AX8),1))*IF(ROUND((Расчет!$D$6/BJ8),0)=0,1,CEILING((Расчет!$D$6/BJ8),1))</f>
        <v>6</v>
      </c>
      <c r="AA8" s="134">
        <f>IF(ROUND((Расчет!$E$6/'Лист 2'!AM8),0)=0,1,CEILING((Расчет!$E$6/'Лист 2'!AM8),1))*IF(ROUND((Расчет!$F$6/'Лист 2'!AY8),0)=0,1,CEILING((Расчет!$F$6/'Лист 2'!AY8),1))*IF(ROUND((Расчет!$D$6/BK8),0)=0,1,CEILING((Расчет!$D$6/BK8),1))</f>
        <v>6</v>
      </c>
      <c r="AB8" s="134">
        <f>IF(ROUND((Расчет!$E$6/'Лист 2'!AN8),0)=0,1,CEILING((Расчет!$E$6/'Лист 2'!AN8),1))*IF(ROUND((Расчет!$F$6/'Лист 2'!AZ8),0)=0,1,CEILING((Расчет!$F$6/'Лист 2'!AZ8),1))*IF(ROUND((Расчет!$D$6/BL8),0)=0,1,CEILING((Расчет!$D$6/BL8),1))</f>
        <v>4</v>
      </c>
      <c r="AC8" s="134">
        <f>IF(ROUND((Расчет!$E$6/'Лист 2'!AO8),0)=0,1,CEILING((Расчет!$E$6/'Лист 2'!AO8),1))*IF(ROUND((Расчет!$F$6/'Лист 2'!BA8),0)=0,1,CEILING((Расчет!$F$6/'Лист 2'!BA8),1))*IF(ROUND((Расчет!$D$6/BM8),0)=0,1,CEILING((Расчет!$D$6/BM8),1))</f>
        <v>5</v>
      </c>
      <c r="AD8" s="134">
        <f>IF(ROUND((Расчет!$E$6/'Лист 2'!AP8),0)=0,1,CEILING((Расчет!$E$6/'Лист 2'!AP8),1))*IF(ROUND((Расчет!$F$6/'Лист 2'!BB8),0)=0,1,CEILING((Расчет!$F$6/'Лист 2'!BB8),1))*IF(ROUND((Расчет!$D$6/BN8),0)=0,1,CEILING((Расчет!$D$6/BN8),1))</f>
        <v>6</v>
      </c>
      <c r="AE8" s="134">
        <f>IF(ROUND((Расчет!$E$6/'Лист 2'!AQ8),0)=0,1,CEILING((Расчет!$E$6/'Лист 2'!AQ8),1))*IF(ROUND((Расчет!$F$6/'Лист 2'!BC8),0)=0,1,CEILING((Расчет!$F$6/'Лист 2'!BC8),1))*IF(ROUND((Расчет!$D$6/BO8),0)=0,1,CEILING((Расчет!$D$6/BO8),1))</f>
        <v>11</v>
      </c>
      <c r="AF8" s="134">
        <f>IF(ROUND((Расчет!$E$6/'Лист 2'!AR8),0)=0,1,CEILING((Расчет!$E$6/'Лист 2'!AR8),1))*IF(ROUND((Расчет!$F$6/'Лист 2'!BD8),0)=0,1,CEILING((Расчет!$F$6/'Лист 2'!BD8),1))*IF(ROUND((Расчет!$D$6/BP8),0)=0,1,CEILING((Расчет!$D$6/BP8),1))</f>
        <v>19</v>
      </c>
      <c r="AG8" s="134">
        <f>IF(ROUND((Расчет!$E$6/'Лист 2'!AS8),0)=0,1,CEILING((Расчет!$E$6/'Лист 2'!AS8),1))*IF(ROUND((Расчет!$F$6/'Лист 2'!BE8),0)=0,1,CEILING((Расчет!$F$6/'Лист 2'!BE8),1))*IF(ROUND((Расчет!$D$6/BQ8),0)=0,1,CEILING((Расчет!$D$6/BQ8),1))</f>
        <v>27</v>
      </c>
      <c r="AH8" s="71">
        <f>IF(ROUND((Расчет!$E$6/'Лист 2'!AT8),0)=0,1,CEILING((Расчет!$E$6/'Лист 2'!AT8),1))*IF(ROUND((Расчет!$F$6/'Лист 2'!BF8),0)=0,1,CEILING((Расчет!$F$6/'Лист 2'!BF8),1))*IF(ROUND((Расчет!$D$6/BR8),0)=0,1,CEILING((Расчет!$D$6/BR8),1))</f>
        <v>38</v>
      </c>
      <c r="AI8" s="134">
        <f t="shared" si="1"/>
        <v>1.1000000000000001</v>
      </c>
      <c r="AJ8" s="30">
        <f t="shared" si="1"/>
        <v>1.3</v>
      </c>
      <c r="AK8" s="30">
        <f t="shared" si="1"/>
        <v>1.5</v>
      </c>
      <c r="AL8" s="30">
        <f t="shared" si="1"/>
        <v>1.6</v>
      </c>
      <c r="AM8" s="30">
        <f t="shared" si="1"/>
        <v>1.8</v>
      </c>
      <c r="AN8" s="30">
        <f t="shared" si="1"/>
        <v>2</v>
      </c>
      <c r="AO8" s="30">
        <f t="shared" si="1"/>
        <v>2.1</v>
      </c>
      <c r="AP8" s="30">
        <f t="shared" si="1"/>
        <v>2.2999999999999998</v>
      </c>
      <c r="AQ8" s="30">
        <f t="shared" si="1"/>
        <v>3.1</v>
      </c>
      <c r="AR8" s="30">
        <f t="shared" si="1"/>
        <v>4</v>
      </c>
      <c r="AS8" s="30">
        <f t="shared" si="1"/>
        <v>4.8</v>
      </c>
      <c r="AT8" s="47">
        <f t="shared" si="1"/>
        <v>5.7</v>
      </c>
      <c r="AU8" s="46">
        <f t="shared" si="2"/>
        <v>0.5</v>
      </c>
      <c r="AV8" s="30">
        <f t="shared" si="2"/>
        <v>0.7</v>
      </c>
      <c r="AW8" s="30">
        <f t="shared" si="2"/>
        <v>0.8</v>
      </c>
      <c r="AX8" s="30">
        <f t="shared" si="2"/>
        <v>1</v>
      </c>
      <c r="AY8" s="30">
        <f t="shared" si="2"/>
        <v>1.2</v>
      </c>
      <c r="AZ8" s="30">
        <f t="shared" si="2"/>
        <v>1.3</v>
      </c>
      <c r="BA8" s="30">
        <f t="shared" si="2"/>
        <v>1.5</v>
      </c>
      <c r="BB8" s="30">
        <f t="shared" si="2"/>
        <v>1.7</v>
      </c>
      <c r="BC8" s="30">
        <f t="shared" si="2"/>
        <v>2.5</v>
      </c>
      <c r="BD8" s="30">
        <f t="shared" si="2"/>
        <v>3.4</v>
      </c>
      <c r="BE8" s="30">
        <f t="shared" si="2"/>
        <v>4.2</v>
      </c>
      <c r="BF8" s="53">
        <f t="shared" si="2"/>
        <v>5</v>
      </c>
      <c r="BG8" s="46">
        <f t="shared" ref="BG8" si="15">$D8/(AU8*AI8)</f>
        <v>95.999999999999986</v>
      </c>
      <c r="BH8" s="30">
        <f t="shared" ref="BH8" si="16">$D8/(AV8*AJ8)</f>
        <v>58.021978021978022</v>
      </c>
      <c r="BI8" s="30">
        <f t="shared" ref="BI8" si="17">$D8/(AW8*AK8)</f>
        <v>43.999999999999993</v>
      </c>
      <c r="BJ8" s="30">
        <f t="shared" ref="BJ8" si="18">$D8/(AX8*AL8)</f>
        <v>32.999999999999993</v>
      </c>
      <c r="BK8" s="30">
        <f t="shared" ref="BK8" si="19">$D8/(AY8*AM8)</f>
        <v>24.444444444444443</v>
      </c>
      <c r="BL8" s="30">
        <f t="shared" ref="BL8" si="20">$D8/(AZ8*AN8)</f>
        <v>20.307692307692307</v>
      </c>
      <c r="BM8" s="30">
        <f t="shared" ref="BM8" si="21">$D8/(BA8*AO8)</f>
        <v>16.761904761904759</v>
      </c>
      <c r="BN8" s="30">
        <f t="shared" ref="BN8" si="22">$D8/(BB8*AP8)</f>
        <v>13.50383631713555</v>
      </c>
      <c r="BO8" s="30">
        <f t="shared" ref="BO8" si="23">$D8/(BC8*AQ8)</f>
        <v>6.8129032258064512</v>
      </c>
      <c r="BP8" s="30">
        <f t="shared" ref="BP8" si="24">$D8/(BD8*AR8)</f>
        <v>3.8823529411764706</v>
      </c>
      <c r="BQ8" s="30">
        <f t="shared" ref="BQ8" si="25">$D8/(BE8*AS8)</f>
        <v>2.6190476190476191</v>
      </c>
      <c r="BR8" s="47">
        <f t="shared" ref="BR8" si="26">$D8/(BF8*AT8)</f>
        <v>1.8526315789473684</v>
      </c>
      <c r="BS8" s="134">
        <v>0.9</v>
      </c>
      <c r="BT8" s="164">
        <v>4175</v>
      </c>
    </row>
    <row r="9" spans="1:82" hidden="1" x14ac:dyDescent="0.25">
      <c r="A9" s="246"/>
      <c r="B9" s="32" t="s">
        <v>73</v>
      </c>
      <c r="C9" s="33">
        <v>32</v>
      </c>
      <c r="D9" s="33">
        <v>79.3</v>
      </c>
      <c r="E9" s="33" t="s">
        <v>72</v>
      </c>
      <c r="F9" s="41" t="s">
        <v>74</v>
      </c>
      <c r="G9" s="48">
        <v>0.49</v>
      </c>
      <c r="H9" s="30">
        <v>0.05</v>
      </c>
      <c r="I9" s="47">
        <v>7.0000000000000007E-2</v>
      </c>
      <c r="J9" s="46">
        <f t="shared" ref="J9:J24" si="27">W9*$BT9</f>
        <v>9878</v>
      </c>
      <c r="K9" s="43">
        <f t="shared" ref="K9:K24" si="28">X9*$BT9</f>
        <v>9878</v>
      </c>
      <c r="L9" s="43">
        <f t="shared" ref="L9:L24" si="29">Y9*$BT9</f>
        <v>9878</v>
      </c>
      <c r="M9" s="43">
        <f t="shared" ref="M9:M24" si="30">Z9*$BT9</f>
        <v>19756</v>
      </c>
      <c r="N9" s="43">
        <f t="shared" ref="N9:N24" si="31">AA9*$BT9</f>
        <v>19756</v>
      </c>
      <c r="O9" s="43">
        <f t="shared" ref="O9:O24" si="32">AB9*$BT9</f>
        <v>29634</v>
      </c>
      <c r="P9" s="43">
        <f t="shared" ref="P9:P24" si="33">AC9*$BT9</f>
        <v>14817</v>
      </c>
      <c r="Q9" s="43">
        <f t="shared" ref="Q9:Q24" si="34">AD9*$BT9</f>
        <v>19756</v>
      </c>
      <c r="R9" s="43">
        <f t="shared" ref="R9:R24" si="35">AE9*$BT9</f>
        <v>34573</v>
      </c>
      <c r="S9" s="43">
        <f t="shared" ref="S9:S24" si="36">AF9*$BT9</f>
        <v>59268</v>
      </c>
      <c r="T9" s="43">
        <f t="shared" ref="T9:T24" si="37">AG9*$BT9</f>
        <v>88902</v>
      </c>
      <c r="U9" s="71">
        <f t="shared" ref="U9:U24" si="38">AH9*$BT9</f>
        <v>123475</v>
      </c>
      <c r="V9" s="68">
        <f t="shared" ref="V9:V24" si="39">MIN(J9:U9)</f>
        <v>9878</v>
      </c>
      <c r="W9" s="46">
        <f>IF(ROUND((Расчет!$E$6/'Лист 2'!AI9),0)=0,1,CEILING((Расчет!$E$6/'Лист 2'!AI9),1))*IF(ROUND((Расчет!$F$6/'Лист 2'!AU9),0)=0,1,CEILING((Расчет!$F$6/'Лист 2'!AU9),1))*IF(ROUND((Расчет!$D$6/BG9),0)=0,1,CEILING((Расчет!$D$6/BG9),1))</f>
        <v>2</v>
      </c>
      <c r="X9" s="43">
        <f>IF(ROUND((Расчет!$E$6/'Лист 2'!AJ9),0)=0,1,CEILING((Расчет!$E$6/'Лист 2'!AJ9),1))*IF(ROUND((Расчет!$F$6/'Лист 2'!AV9),0)=0,1,CEILING((Расчет!$F$6/'Лист 2'!AV9),1))*IF(ROUND((Расчет!$D$6/BH9),0)=0,1,CEILING((Расчет!$D$6/BH9),1))</f>
        <v>2</v>
      </c>
      <c r="Y9" s="43">
        <f>IF(ROUND((Расчет!$E$6/'Лист 2'!AK9),0)=0,1,CEILING((Расчет!$E$6/'Лист 2'!AK9),1))*IF(ROUND((Расчет!$F$6/'Лист 2'!AW9),0)=0,1,CEILING((Расчет!$F$6/'Лист 2'!AW9),1))*IF(ROUND((Расчет!$D$6/BI9),0)=0,1,CEILING((Расчет!$D$6/BI9),1))</f>
        <v>2</v>
      </c>
      <c r="Z9" s="43">
        <f>IF(ROUND((Расчет!$E$6/'Лист 2'!AL9),0)=0,1,CEILING((Расчет!$E$6/'Лист 2'!AL9),1))*IF(ROUND((Расчет!$F$6/'Лист 2'!AX9),0)=0,1,CEILING((Расчет!$F$6/'Лист 2'!AX9),1))*IF(ROUND((Расчет!$D$6/BJ9),0)=0,1,CEILING((Расчет!$D$6/BJ9),1))</f>
        <v>4</v>
      </c>
      <c r="AA9" s="43">
        <f>IF(ROUND((Расчет!$E$6/'Лист 2'!AM9),0)=0,1,CEILING((Расчет!$E$6/'Лист 2'!AM9),1))*IF(ROUND((Расчет!$F$6/'Лист 2'!AY9),0)=0,1,CEILING((Расчет!$F$6/'Лист 2'!AY9),1))*IF(ROUND((Расчет!$D$6/BK9),0)=0,1,CEILING((Расчет!$D$6/BK9),1))</f>
        <v>4</v>
      </c>
      <c r="AB9" s="43">
        <f>IF(ROUND((Расчет!$E$6/'Лист 2'!AN9),0)=0,1,CEILING((Расчет!$E$6/'Лист 2'!AN9),1))*IF(ROUND((Расчет!$F$6/'Лист 2'!AZ9),0)=0,1,CEILING((Расчет!$F$6/'Лист 2'!AZ9),1))*IF(ROUND((Расчет!$D$6/BL9),0)=0,1,CEILING((Расчет!$D$6/BL9),1))</f>
        <v>6</v>
      </c>
      <c r="AC9" s="43">
        <f>IF(ROUND((Расчет!$E$6/'Лист 2'!AO9),0)=0,1,CEILING((Расчет!$E$6/'Лист 2'!AO9),1))*IF(ROUND((Расчет!$F$6/'Лист 2'!BA9),0)=0,1,CEILING((Расчет!$F$6/'Лист 2'!BA9),1))*IF(ROUND((Расчет!$D$6/BM9),0)=0,1,CEILING((Расчет!$D$6/BM9),1))</f>
        <v>3</v>
      </c>
      <c r="AD9" s="43">
        <f>IF(ROUND((Расчет!$E$6/'Лист 2'!AP9),0)=0,1,CEILING((Расчет!$E$6/'Лист 2'!AP9),1))*IF(ROUND((Расчет!$F$6/'Лист 2'!BB9),0)=0,1,CEILING((Расчет!$F$6/'Лист 2'!BB9),1))*IF(ROUND((Расчет!$D$6/BN9),0)=0,1,CEILING((Расчет!$D$6/BN9),1))</f>
        <v>4</v>
      </c>
      <c r="AE9" s="43">
        <f>IF(ROUND((Расчет!$E$6/'Лист 2'!AQ9),0)=0,1,CEILING((Расчет!$E$6/'Лист 2'!AQ9),1))*IF(ROUND((Расчет!$F$6/'Лист 2'!BC9),0)=0,1,CEILING((Расчет!$F$6/'Лист 2'!BC9),1))*IF(ROUND((Расчет!$D$6/BO9),0)=0,1,CEILING((Расчет!$D$6/BO9),1))</f>
        <v>7</v>
      </c>
      <c r="AF9" s="43">
        <f>IF(ROUND((Расчет!$E$6/'Лист 2'!AR9),0)=0,1,CEILING((Расчет!$E$6/'Лист 2'!AR9),1))*IF(ROUND((Расчет!$F$6/'Лист 2'!BD9),0)=0,1,CEILING((Расчет!$F$6/'Лист 2'!BD9),1))*IF(ROUND((Расчет!$D$6/BP9),0)=0,1,CEILING((Расчет!$D$6/BP9),1))</f>
        <v>12</v>
      </c>
      <c r="AG9" s="43">
        <f>IF(ROUND((Расчет!$E$6/'Лист 2'!AS9),0)=0,1,CEILING((Расчет!$E$6/'Лист 2'!AS9),1))*IF(ROUND((Расчет!$F$6/'Лист 2'!BE9),0)=0,1,CEILING((Расчет!$F$6/'Лист 2'!BE9),1))*IF(ROUND((Расчет!$D$6/BQ9),0)=0,1,CEILING((Расчет!$D$6/BQ9),1))</f>
        <v>18</v>
      </c>
      <c r="AH9" s="71">
        <f>IF(ROUND((Расчет!$E$6/'Лист 2'!AT9),0)=0,1,CEILING((Расчет!$E$6/'Лист 2'!AT9),1))*IF(ROUND((Расчет!$F$6/'Лист 2'!BF9),0)=0,1,CEILING((Расчет!$F$6/'Лист 2'!BF9),1))*IF(ROUND((Расчет!$D$6/BR9),0)=0,1,CEILING((Расчет!$D$6/BR9),1))</f>
        <v>25</v>
      </c>
      <c r="AI9" s="43">
        <f t="shared" si="1"/>
        <v>1</v>
      </c>
      <c r="AJ9" s="30">
        <f t="shared" si="1"/>
        <v>1.2</v>
      </c>
      <c r="AK9" s="30">
        <f t="shared" si="1"/>
        <v>1.3</v>
      </c>
      <c r="AL9" s="30">
        <f t="shared" si="1"/>
        <v>1.5</v>
      </c>
      <c r="AM9" s="30">
        <f t="shared" si="1"/>
        <v>1.7</v>
      </c>
      <c r="AN9" s="30">
        <f t="shared" si="1"/>
        <v>1.8</v>
      </c>
      <c r="AO9" s="30">
        <f t="shared" si="1"/>
        <v>2</v>
      </c>
      <c r="AP9" s="30">
        <f t="shared" si="1"/>
        <v>2.2000000000000002</v>
      </c>
      <c r="AQ9" s="30">
        <f t="shared" si="1"/>
        <v>3</v>
      </c>
      <c r="AR9" s="30">
        <f t="shared" si="1"/>
        <v>3.8</v>
      </c>
      <c r="AS9" s="30">
        <f t="shared" si="1"/>
        <v>4.7</v>
      </c>
      <c r="AT9" s="47">
        <f t="shared" si="1"/>
        <v>5.5</v>
      </c>
      <c r="AU9" s="46">
        <f t="shared" si="2"/>
        <v>0.5</v>
      </c>
      <c r="AV9" s="30">
        <f t="shared" si="2"/>
        <v>0.7</v>
      </c>
      <c r="AW9" s="30">
        <f t="shared" si="2"/>
        <v>0.8</v>
      </c>
      <c r="AX9" s="30">
        <f t="shared" si="2"/>
        <v>1</v>
      </c>
      <c r="AY9" s="30">
        <f t="shared" si="2"/>
        <v>1.2</v>
      </c>
      <c r="AZ9" s="30">
        <f t="shared" si="2"/>
        <v>1.3</v>
      </c>
      <c r="BA9" s="30">
        <f t="shared" si="2"/>
        <v>1.5</v>
      </c>
      <c r="BB9" s="30">
        <f t="shared" si="2"/>
        <v>1.7</v>
      </c>
      <c r="BC9" s="30">
        <f t="shared" si="2"/>
        <v>2.5</v>
      </c>
      <c r="BD9" s="30">
        <f t="shared" si="2"/>
        <v>3.4</v>
      </c>
      <c r="BE9" s="30">
        <f t="shared" si="2"/>
        <v>4.2</v>
      </c>
      <c r="BF9" s="53">
        <f t="shared" si="2"/>
        <v>5</v>
      </c>
      <c r="BG9" s="46">
        <f t="shared" si="3"/>
        <v>158.6</v>
      </c>
      <c r="BH9" s="30">
        <f t="shared" si="3"/>
        <v>94.404761904761898</v>
      </c>
      <c r="BI9" s="30">
        <f t="shared" si="3"/>
        <v>76.25</v>
      </c>
      <c r="BJ9" s="30">
        <f t="shared" si="3"/>
        <v>52.866666666666667</v>
      </c>
      <c r="BK9" s="30">
        <f t="shared" si="3"/>
        <v>38.872549019607838</v>
      </c>
      <c r="BL9" s="30">
        <f t="shared" si="3"/>
        <v>33.888888888888886</v>
      </c>
      <c r="BM9" s="30">
        <f t="shared" si="3"/>
        <v>26.433333333333334</v>
      </c>
      <c r="BN9" s="30">
        <f t="shared" si="3"/>
        <v>21.203208556149729</v>
      </c>
      <c r="BO9" s="30">
        <f t="shared" si="3"/>
        <v>10.573333333333332</v>
      </c>
      <c r="BP9" s="30">
        <f t="shared" si="3"/>
        <v>6.1377708978328167</v>
      </c>
      <c r="BQ9" s="30">
        <f t="shared" si="3"/>
        <v>4.017223910840932</v>
      </c>
      <c r="BR9" s="47">
        <f t="shared" si="3"/>
        <v>2.8836363636363633</v>
      </c>
      <c r="BS9" s="54">
        <v>0.8</v>
      </c>
      <c r="BT9" s="165">
        <v>4939</v>
      </c>
    </row>
    <row r="10" spans="1:82" hidden="1" x14ac:dyDescent="0.25">
      <c r="A10" s="246"/>
      <c r="B10" s="29" t="s">
        <v>76</v>
      </c>
      <c r="C10" s="30">
        <v>48</v>
      </c>
      <c r="D10" s="30">
        <v>105.7</v>
      </c>
      <c r="E10" s="30" t="s">
        <v>72</v>
      </c>
      <c r="F10" s="41" t="s">
        <v>35</v>
      </c>
      <c r="G10" s="46">
        <v>0.63</v>
      </c>
      <c r="H10" s="30">
        <v>0.05</v>
      </c>
      <c r="I10" s="47">
        <v>7.0000000000000007E-2</v>
      </c>
      <c r="J10" s="46">
        <f t="shared" si="27"/>
        <v>12078</v>
      </c>
      <c r="K10" s="43">
        <f t="shared" si="28"/>
        <v>12078</v>
      </c>
      <c r="L10" s="43">
        <f t="shared" si="29"/>
        <v>12078</v>
      </c>
      <c r="M10" s="43">
        <f t="shared" si="30"/>
        <v>24156</v>
      </c>
      <c r="N10" s="43">
        <f t="shared" si="31"/>
        <v>24156</v>
      </c>
      <c r="O10" s="43">
        <f t="shared" si="32"/>
        <v>12078</v>
      </c>
      <c r="P10" s="43">
        <f t="shared" si="33"/>
        <v>18117</v>
      </c>
      <c r="Q10" s="43">
        <f t="shared" si="34"/>
        <v>18117</v>
      </c>
      <c r="R10" s="43">
        <f t="shared" si="35"/>
        <v>36234</v>
      </c>
      <c r="S10" s="43">
        <f t="shared" si="36"/>
        <v>60390</v>
      </c>
      <c r="T10" s="43">
        <f t="shared" si="37"/>
        <v>84546</v>
      </c>
      <c r="U10" s="71">
        <f t="shared" si="38"/>
        <v>114741</v>
      </c>
      <c r="V10" s="68">
        <f t="shared" si="39"/>
        <v>12078</v>
      </c>
      <c r="W10" s="46">
        <f>IF(ROUND((Расчет!$E$6/'Лист 2'!AI10),0)=0,1,CEILING((Расчет!$E$6/'Лист 2'!AI10),1))*IF(ROUND((Расчет!$F$6/'Лист 2'!AU10),0)=0,1,CEILING((Расчет!$F$6/'Лист 2'!AU10),1))*IF(ROUND((Расчет!$D$6/BG10),0)=0,1,CEILING((Расчет!$D$6/BG10),1))</f>
        <v>2</v>
      </c>
      <c r="X10" s="43">
        <f>IF(ROUND((Расчет!$E$6/'Лист 2'!AJ10),0)=0,1,CEILING((Расчет!$E$6/'Лист 2'!AJ10),1))*IF(ROUND((Расчет!$F$6/'Лист 2'!AV10),0)=0,1,CEILING((Расчет!$F$6/'Лист 2'!AV10),1))*IF(ROUND((Расчет!$D$6/BH10),0)=0,1,CEILING((Расчет!$D$6/BH10),1))</f>
        <v>2</v>
      </c>
      <c r="Y10" s="43">
        <f>IF(ROUND((Расчет!$E$6/'Лист 2'!AK10),0)=0,1,CEILING((Расчет!$E$6/'Лист 2'!AK10),1))*IF(ROUND((Расчет!$F$6/'Лист 2'!AW10),0)=0,1,CEILING((Расчет!$F$6/'Лист 2'!AW10),1))*IF(ROUND((Расчет!$D$6/BI10),0)=0,1,CEILING((Расчет!$D$6/BI10),1))</f>
        <v>2</v>
      </c>
      <c r="Z10" s="43">
        <f>IF(ROUND((Расчет!$E$6/'Лист 2'!AL10),0)=0,1,CEILING((Расчет!$E$6/'Лист 2'!AL10),1))*IF(ROUND((Расчет!$F$6/'Лист 2'!AX10),0)=0,1,CEILING((Расчет!$F$6/'Лист 2'!AX10),1))*IF(ROUND((Расчет!$D$6/BJ10),0)=0,1,CEILING((Расчет!$D$6/BJ10),1))</f>
        <v>4</v>
      </c>
      <c r="AA10" s="43">
        <f>IF(ROUND((Расчет!$E$6/'Лист 2'!AM10),0)=0,1,CEILING((Расчет!$E$6/'Лист 2'!AM10),1))*IF(ROUND((Расчет!$F$6/'Лист 2'!AY10),0)=0,1,CEILING((Расчет!$F$6/'Лист 2'!AY10),1))*IF(ROUND((Расчет!$D$6/BK10),0)=0,1,CEILING((Расчет!$D$6/BK10),1))</f>
        <v>4</v>
      </c>
      <c r="AB10" s="43">
        <f>IF(ROUND((Расчет!$E$6/'Лист 2'!AN10),0)=0,1,CEILING((Расчет!$E$6/'Лист 2'!AN10),1))*IF(ROUND((Расчет!$F$6/'Лист 2'!AZ10),0)=0,1,CEILING((Расчет!$F$6/'Лист 2'!AZ10),1))*IF(ROUND((Расчет!$D$6/BL10),0)=0,1,CEILING((Расчет!$D$6/BL10),1))</f>
        <v>2</v>
      </c>
      <c r="AC10" s="43">
        <f>IF(ROUND((Расчет!$E$6/'Лист 2'!AO10),0)=0,1,CEILING((Расчет!$E$6/'Лист 2'!AO10),1))*IF(ROUND((Расчет!$F$6/'Лист 2'!BA10),0)=0,1,CEILING((Расчет!$F$6/'Лист 2'!BA10),1))*IF(ROUND((Расчет!$D$6/BM10),0)=0,1,CEILING((Расчет!$D$6/BM10),1))</f>
        <v>3</v>
      </c>
      <c r="AD10" s="43">
        <f>IF(ROUND((Расчет!$E$6/'Лист 2'!AP10),0)=0,1,CEILING((Расчет!$E$6/'Лист 2'!AP10),1))*IF(ROUND((Расчет!$F$6/'Лист 2'!BB10),0)=0,1,CEILING((Расчет!$F$6/'Лист 2'!BB10),1))*IF(ROUND((Расчет!$D$6/BN10),0)=0,1,CEILING((Расчет!$D$6/BN10),1))</f>
        <v>3</v>
      </c>
      <c r="AE10" s="43">
        <f>IF(ROUND((Расчет!$E$6/'Лист 2'!AQ10),0)=0,1,CEILING((Расчет!$E$6/'Лист 2'!AQ10),1))*IF(ROUND((Расчет!$F$6/'Лист 2'!BC10),0)=0,1,CEILING((Расчет!$F$6/'Лист 2'!BC10),1))*IF(ROUND((Расчет!$D$6/BO10),0)=0,1,CEILING((Расчет!$D$6/BO10),1))</f>
        <v>6</v>
      </c>
      <c r="AF10" s="43">
        <f>IF(ROUND((Расчет!$E$6/'Лист 2'!AR10),0)=0,1,CEILING((Расчет!$E$6/'Лист 2'!AR10),1))*IF(ROUND((Расчет!$F$6/'Лист 2'!BD10),0)=0,1,CEILING((Расчет!$F$6/'Лист 2'!BD10),1))*IF(ROUND((Расчет!$D$6/BP10),0)=0,1,CEILING((Расчет!$D$6/BP10),1))</f>
        <v>10</v>
      </c>
      <c r="AG10" s="43">
        <f>IF(ROUND((Расчет!$E$6/'Лист 2'!AS10),0)=0,1,CEILING((Расчет!$E$6/'Лист 2'!AS10),1))*IF(ROUND((Расчет!$F$6/'Лист 2'!BE10),0)=0,1,CEILING((Расчет!$F$6/'Лист 2'!BE10),1))*IF(ROUND((Расчет!$D$6/BQ10),0)=0,1,CEILING((Расчет!$D$6/BQ10),1))</f>
        <v>14</v>
      </c>
      <c r="AH10" s="71">
        <f>IF(ROUND((Расчет!$E$6/'Лист 2'!AT10),0)=0,1,CEILING((Расчет!$E$6/'Лист 2'!AT10),1))*IF(ROUND((Расчет!$F$6/'Лист 2'!BF10),0)=0,1,CEILING((Расчет!$F$6/'Лист 2'!BF10),1))*IF(ROUND((Расчет!$D$6/BR10),0)=0,1,CEILING((Расчет!$D$6/BR10),1))</f>
        <v>19</v>
      </c>
      <c r="AI10" s="43">
        <f t="shared" si="1"/>
        <v>1.1000000000000001</v>
      </c>
      <c r="AJ10" s="30">
        <f t="shared" si="1"/>
        <v>1.3</v>
      </c>
      <c r="AK10" s="30">
        <f t="shared" si="1"/>
        <v>1.5</v>
      </c>
      <c r="AL10" s="30">
        <f t="shared" si="1"/>
        <v>1.6</v>
      </c>
      <c r="AM10" s="30">
        <f t="shared" si="1"/>
        <v>1.8</v>
      </c>
      <c r="AN10" s="30">
        <f t="shared" si="1"/>
        <v>2</v>
      </c>
      <c r="AO10" s="30">
        <f t="shared" si="1"/>
        <v>2.1</v>
      </c>
      <c r="AP10" s="30">
        <f t="shared" si="1"/>
        <v>2.2999999999999998</v>
      </c>
      <c r="AQ10" s="30">
        <f t="shared" si="1"/>
        <v>3.1</v>
      </c>
      <c r="AR10" s="30">
        <f t="shared" si="1"/>
        <v>4</v>
      </c>
      <c r="AS10" s="30">
        <f t="shared" si="1"/>
        <v>4.8</v>
      </c>
      <c r="AT10" s="47">
        <f t="shared" si="1"/>
        <v>5.7</v>
      </c>
      <c r="AU10" s="46">
        <f t="shared" si="2"/>
        <v>0.5</v>
      </c>
      <c r="AV10" s="30">
        <f t="shared" si="2"/>
        <v>0.7</v>
      </c>
      <c r="AW10" s="30">
        <f t="shared" si="2"/>
        <v>0.8</v>
      </c>
      <c r="AX10" s="30">
        <f t="shared" si="2"/>
        <v>1</v>
      </c>
      <c r="AY10" s="30">
        <f t="shared" si="2"/>
        <v>1.2</v>
      </c>
      <c r="AZ10" s="30">
        <f t="shared" si="2"/>
        <v>1.3</v>
      </c>
      <c r="BA10" s="30">
        <f t="shared" si="2"/>
        <v>1.5</v>
      </c>
      <c r="BB10" s="30">
        <f t="shared" si="2"/>
        <v>1.7</v>
      </c>
      <c r="BC10" s="30">
        <f t="shared" si="2"/>
        <v>2.5</v>
      </c>
      <c r="BD10" s="30">
        <f t="shared" si="2"/>
        <v>3.4</v>
      </c>
      <c r="BE10" s="30">
        <f t="shared" si="2"/>
        <v>4.2</v>
      </c>
      <c r="BF10" s="53">
        <f t="shared" si="2"/>
        <v>5</v>
      </c>
      <c r="BG10" s="46">
        <f t="shared" si="3"/>
        <v>192.18181818181816</v>
      </c>
      <c r="BH10" s="30">
        <f t="shared" si="3"/>
        <v>116.15384615384616</v>
      </c>
      <c r="BI10" s="30">
        <f t="shared" si="3"/>
        <v>88.083333333333329</v>
      </c>
      <c r="BJ10" s="30">
        <f t="shared" si="3"/>
        <v>66.0625</v>
      </c>
      <c r="BK10" s="30">
        <f t="shared" si="3"/>
        <v>48.935185185185183</v>
      </c>
      <c r="BL10" s="30">
        <f t="shared" si="3"/>
        <v>40.653846153846153</v>
      </c>
      <c r="BM10" s="30">
        <f t="shared" si="3"/>
        <v>33.55555555555555</v>
      </c>
      <c r="BN10" s="30">
        <f t="shared" si="3"/>
        <v>27.033248081841435</v>
      </c>
      <c r="BO10" s="30">
        <f t="shared" si="3"/>
        <v>13.638709677419355</v>
      </c>
      <c r="BP10" s="30">
        <f t="shared" si="3"/>
        <v>7.7720588235294121</v>
      </c>
      <c r="BQ10" s="30">
        <f t="shared" si="3"/>
        <v>5.2430555555555554</v>
      </c>
      <c r="BR10" s="47">
        <f t="shared" si="3"/>
        <v>3.7087719298245614</v>
      </c>
      <c r="BS10" s="43">
        <v>0.9</v>
      </c>
      <c r="BT10" s="164">
        <v>6039</v>
      </c>
    </row>
    <row r="11" spans="1:82" hidden="1" x14ac:dyDescent="0.25">
      <c r="A11" s="246"/>
      <c r="B11" s="32" t="s">
        <v>77</v>
      </c>
      <c r="C11" s="33">
        <v>56</v>
      </c>
      <c r="D11" s="33">
        <v>132.1</v>
      </c>
      <c r="E11" s="33" t="s">
        <v>72</v>
      </c>
      <c r="F11" s="41" t="s">
        <v>39</v>
      </c>
      <c r="G11" s="48">
        <v>0.77</v>
      </c>
      <c r="H11" s="30">
        <v>0.05</v>
      </c>
      <c r="I11" s="47">
        <v>7.0000000000000007E-2</v>
      </c>
      <c r="J11" s="46">
        <f t="shared" si="27"/>
        <v>14498</v>
      </c>
      <c r="K11" s="43">
        <f t="shared" si="28"/>
        <v>14498</v>
      </c>
      <c r="L11" s="43">
        <f t="shared" si="29"/>
        <v>14498</v>
      </c>
      <c r="M11" s="43">
        <f t="shared" si="30"/>
        <v>14498</v>
      </c>
      <c r="N11" s="43">
        <f t="shared" si="31"/>
        <v>28996</v>
      </c>
      <c r="O11" s="43">
        <f t="shared" si="32"/>
        <v>14498</v>
      </c>
      <c r="P11" s="43">
        <f t="shared" si="33"/>
        <v>14498</v>
      </c>
      <c r="Q11" s="43">
        <f t="shared" si="34"/>
        <v>21747</v>
      </c>
      <c r="R11" s="43">
        <f t="shared" si="35"/>
        <v>36245</v>
      </c>
      <c r="S11" s="43">
        <f t="shared" si="36"/>
        <v>57992</v>
      </c>
      <c r="T11" s="43">
        <f t="shared" si="37"/>
        <v>86988</v>
      </c>
      <c r="U11" s="71">
        <f t="shared" si="38"/>
        <v>115984</v>
      </c>
      <c r="V11" s="68">
        <f t="shared" si="39"/>
        <v>14498</v>
      </c>
      <c r="W11" s="46">
        <f>IF(ROUND((Расчет!$E$6/'Лист 2'!AI11),0)=0,1,CEILING((Расчет!$E$6/'Лист 2'!AI11),1))*IF(ROUND((Расчет!$F$6/'Лист 2'!AU11),0)=0,1,CEILING((Расчет!$F$6/'Лист 2'!AU11),1))*IF(ROUND((Расчет!$D$6/BG11),0)=0,1,CEILING((Расчет!$D$6/BG11),1))</f>
        <v>2</v>
      </c>
      <c r="X11" s="43">
        <f>IF(ROUND((Расчет!$E$6/'Лист 2'!AJ11),0)=0,1,CEILING((Расчет!$E$6/'Лист 2'!AJ11),1))*IF(ROUND((Расчет!$F$6/'Лист 2'!AV11),0)=0,1,CEILING((Расчет!$F$6/'Лист 2'!AV11),1))*IF(ROUND((Расчет!$D$6/BH11),0)=0,1,CEILING((Расчет!$D$6/BH11),1))</f>
        <v>2</v>
      </c>
      <c r="Y11" s="43">
        <f>IF(ROUND((Расчет!$E$6/'Лист 2'!AK11),0)=0,1,CEILING((Расчет!$E$6/'Лист 2'!AK11),1))*IF(ROUND((Расчет!$F$6/'Лист 2'!AW11),0)=0,1,CEILING((Расчет!$F$6/'Лист 2'!AW11),1))*IF(ROUND((Расчет!$D$6/BI11),0)=0,1,CEILING((Расчет!$D$6/BI11),1))</f>
        <v>2</v>
      </c>
      <c r="Z11" s="43">
        <f>IF(ROUND((Расчет!$E$6/'Лист 2'!AL11),0)=0,1,CEILING((Расчет!$E$6/'Лист 2'!AL11),1))*IF(ROUND((Расчет!$F$6/'Лист 2'!AX11),0)=0,1,CEILING((Расчет!$F$6/'Лист 2'!AX11),1))*IF(ROUND((Расчет!$D$6/BJ11),0)=0,1,CEILING((Расчет!$D$6/BJ11),1))</f>
        <v>2</v>
      </c>
      <c r="AA11" s="43">
        <f>IF(ROUND((Расчет!$E$6/'Лист 2'!AM11),0)=0,1,CEILING((Расчет!$E$6/'Лист 2'!AM11),1))*IF(ROUND((Расчет!$F$6/'Лист 2'!AY11),0)=0,1,CEILING((Расчет!$F$6/'Лист 2'!AY11),1))*IF(ROUND((Расчет!$D$6/BK11),0)=0,1,CEILING((Расчет!$D$6/BK11),1))</f>
        <v>4</v>
      </c>
      <c r="AB11" s="43">
        <f>IF(ROUND((Расчет!$E$6/'Лист 2'!AN11),0)=0,1,CEILING((Расчет!$E$6/'Лист 2'!AN11),1))*IF(ROUND((Расчет!$F$6/'Лист 2'!AZ11),0)=0,1,CEILING((Расчет!$F$6/'Лист 2'!AZ11),1))*IF(ROUND((Расчет!$D$6/BL11),0)=0,1,CEILING((Расчет!$D$6/BL11),1))</f>
        <v>2</v>
      </c>
      <c r="AC11" s="43">
        <f>IF(ROUND((Расчет!$E$6/'Лист 2'!AO11),0)=0,1,CEILING((Расчет!$E$6/'Лист 2'!AO11),1))*IF(ROUND((Расчет!$F$6/'Лист 2'!BA11),0)=0,1,CEILING((Расчет!$F$6/'Лист 2'!BA11),1))*IF(ROUND((Расчет!$D$6/BM11),0)=0,1,CEILING((Расчет!$D$6/BM11),1))</f>
        <v>2</v>
      </c>
      <c r="AD11" s="43">
        <f>IF(ROUND((Расчет!$E$6/'Лист 2'!AP11),0)=0,1,CEILING((Расчет!$E$6/'Лист 2'!AP11),1))*IF(ROUND((Расчет!$F$6/'Лист 2'!BB11),0)=0,1,CEILING((Расчет!$F$6/'Лист 2'!BB11),1))*IF(ROUND((Расчет!$D$6/BN11),0)=0,1,CEILING((Расчет!$D$6/BN11),1))</f>
        <v>3</v>
      </c>
      <c r="AE11" s="43">
        <f>IF(ROUND((Расчет!$E$6/'Лист 2'!AQ11),0)=0,1,CEILING((Расчет!$E$6/'Лист 2'!AQ11),1))*IF(ROUND((Расчет!$F$6/'Лист 2'!BC11),0)=0,1,CEILING((Расчет!$F$6/'Лист 2'!BC11),1))*IF(ROUND((Расчет!$D$6/BO11),0)=0,1,CEILING((Расчет!$D$6/BO11),1))</f>
        <v>5</v>
      </c>
      <c r="AF11" s="43">
        <f>IF(ROUND((Расчет!$E$6/'Лист 2'!AR11),0)=0,1,CEILING((Расчет!$E$6/'Лист 2'!AR11),1))*IF(ROUND((Расчет!$F$6/'Лист 2'!BD11),0)=0,1,CEILING((Расчет!$F$6/'Лист 2'!BD11),1))*IF(ROUND((Расчет!$D$6/BP11),0)=0,1,CEILING((Расчет!$D$6/BP11),1))</f>
        <v>8</v>
      </c>
      <c r="AG11" s="43">
        <f>IF(ROUND((Расчет!$E$6/'Лист 2'!AS11),0)=0,1,CEILING((Расчет!$E$6/'Лист 2'!AS11),1))*IF(ROUND((Расчет!$F$6/'Лист 2'!BE11),0)=0,1,CEILING((Расчет!$F$6/'Лист 2'!BE11),1))*IF(ROUND((Расчет!$D$6/BQ11),0)=0,1,CEILING((Расчет!$D$6/BQ11),1))</f>
        <v>12</v>
      </c>
      <c r="AH11" s="71">
        <f>IF(ROUND((Расчет!$E$6/'Лист 2'!AT11),0)=0,1,CEILING((Расчет!$E$6/'Лист 2'!AT11),1))*IF(ROUND((Расчет!$F$6/'Лист 2'!BF11),0)=0,1,CEILING((Расчет!$F$6/'Лист 2'!BF11),1))*IF(ROUND((Расчет!$D$6/BR11),0)=0,1,CEILING((Расчет!$D$6/BR11),1))</f>
        <v>16</v>
      </c>
      <c r="AI11" s="43">
        <f t="shared" si="1"/>
        <v>1.3</v>
      </c>
      <c r="AJ11" s="30">
        <f t="shared" si="1"/>
        <v>1.4</v>
      </c>
      <c r="AK11" s="30">
        <f t="shared" si="1"/>
        <v>1.6</v>
      </c>
      <c r="AL11" s="30">
        <f t="shared" si="1"/>
        <v>1.8</v>
      </c>
      <c r="AM11" s="30">
        <f t="shared" si="1"/>
        <v>1.9</v>
      </c>
      <c r="AN11" s="30">
        <f t="shared" si="1"/>
        <v>2.1</v>
      </c>
      <c r="AO11" s="30">
        <f t="shared" si="1"/>
        <v>2.2999999999999998</v>
      </c>
      <c r="AP11" s="30">
        <f t="shared" si="1"/>
        <v>2.4</v>
      </c>
      <c r="AQ11" s="30">
        <f t="shared" si="1"/>
        <v>3.3</v>
      </c>
      <c r="AR11" s="30">
        <f t="shared" si="1"/>
        <v>4.0999999999999996</v>
      </c>
      <c r="AS11" s="30">
        <f t="shared" si="1"/>
        <v>5</v>
      </c>
      <c r="AT11" s="47">
        <f t="shared" si="1"/>
        <v>5.8</v>
      </c>
      <c r="AU11" s="46">
        <f t="shared" si="2"/>
        <v>0.5</v>
      </c>
      <c r="AV11" s="30">
        <f t="shared" si="2"/>
        <v>0.7</v>
      </c>
      <c r="AW11" s="30">
        <f t="shared" si="2"/>
        <v>0.8</v>
      </c>
      <c r="AX11" s="30">
        <f t="shared" si="2"/>
        <v>1</v>
      </c>
      <c r="AY11" s="30">
        <f t="shared" si="2"/>
        <v>1.2</v>
      </c>
      <c r="AZ11" s="30">
        <f t="shared" si="2"/>
        <v>1.3</v>
      </c>
      <c r="BA11" s="30">
        <f t="shared" si="2"/>
        <v>1.5</v>
      </c>
      <c r="BB11" s="30">
        <f t="shared" si="2"/>
        <v>1.7</v>
      </c>
      <c r="BC11" s="30">
        <f t="shared" si="2"/>
        <v>2.5</v>
      </c>
      <c r="BD11" s="30">
        <f t="shared" si="2"/>
        <v>3.4</v>
      </c>
      <c r="BE11" s="30">
        <f t="shared" si="2"/>
        <v>4.2</v>
      </c>
      <c r="BF11" s="53">
        <f t="shared" si="2"/>
        <v>5</v>
      </c>
      <c r="BG11" s="46">
        <f t="shared" si="3"/>
        <v>203.23076923076923</v>
      </c>
      <c r="BH11" s="30">
        <f t="shared" si="3"/>
        <v>134.79591836734696</v>
      </c>
      <c r="BI11" s="30">
        <f t="shared" si="3"/>
        <v>103.20312499999997</v>
      </c>
      <c r="BJ11" s="30">
        <f t="shared" si="3"/>
        <v>73.388888888888886</v>
      </c>
      <c r="BK11" s="30">
        <f t="shared" si="3"/>
        <v>57.938596491228076</v>
      </c>
      <c r="BL11" s="30">
        <f t="shared" si="3"/>
        <v>48.38827838827838</v>
      </c>
      <c r="BM11" s="30">
        <f t="shared" si="3"/>
        <v>38.289855072463773</v>
      </c>
      <c r="BN11" s="30">
        <f t="shared" si="3"/>
        <v>32.377450980392155</v>
      </c>
      <c r="BO11" s="30">
        <f t="shared" si="3"/>
        <v>16.012121212121212</v>
      </c>
      <c r="BP11" s="30">
        <f t="shared" si="3"/>
        <v>9.4763271162123406</v>
      </c>
      <c r="BQ11" s="30">
        <f t="shared" si="3"/>
        <v>6.2904761904761903</v>
      </c>
      <c r="BR11" s="47">
        <f t="shared" si="3"/>
        <v>4.5551724137931036</v>
      </c>
      <c r="BS11" s="54">
        <v>1.1000000000000001</v>
      </c>
      <c r="BT11" s="165">
        <v>7249</v>
      </c>
    </row>
    <row r="12" spans="1:82" ht="15.75" hidden="1" thickBot="1" x14ac:dyDescent="0.3">
      <c r="A12" s="246"/>
      <c r="B12" s="29" t="s">
        <v>78</v>
      </c>
      <c r="C12" s="30">
        <v>96</v>
      </c>
      <c r="D12" s="30">
        <v>211.4</v>
      </c>
      <c r="E12" s="30" t="s">
        <v>72</v>
      </c>
      <c r="F12" s="41" t="s">
        <v>43</v>
      </c>
      <c r="G12" s="46">
        <v>1.3</v>
      </c>
      <c r="H12" s="30">
        <v>0.05</v>
      </c>
      <c r="I12" s="47">
        <v>7.0000000000000007E-2</v>
      </c>
      <c r="J12" s="73">
        <f t="shared" si="27"/>
        <v>23518</v>
      </c>
      <c r="K12" s="74">
        <f t="shared" si="28"/>
        <v>11759</v>
      </c>
      <c r="L12" s="74">
        <f t="shared" si="29"/>
        <v>11759</v>
      </c>
      <c r="M12" s="74">
        <f t="shared" si="30"/>
        <v>11759</v>
      </c>
      <c r="N12" s="74">
        <f t="shared" si="31"/>
        <v>11759</v>
      </c>
      <c r="O12" s="74">
        <f t="shared" si="32"/>
        <v>23518</v>
      </c>
      <c r="P12" s="74">
        <f t="shared" si="33"/>
        <v>23518</v>
      </c>
      <c r="Q12" s="74">
        <f t="shared" si="34"/>
        <v>23518</v>
      </c>
      <c r="R12" s="74">
        <f t="shared" si="35"/>
        <v>47036</v>
      </c>
      <c r="S12" s="74">
        <f t="shared" si="36"/>
        <v>70554</v>
      </c>
      <c r="T12" s="74">
        <f t="shared" si="37"/>
        <v>94072</v>
      </c>
      <c r="U12" s="75">
        <f t="shared" si="38"/>
        <v>129349</v>
      </c>
      <c r="V12" s="69">
        <f t="shared" si="39"/>
        <v>11759</v>
      </c>
      <c r="W12" s="46">
        <f>IF(ROUND((Расчет!$E$6/'Лист 2'!AI12),0)=0,1,CEILING((Расчет!$E$6/'Лист 2'!AI12),1))*IF(ROUND((Расчет!$F$6/'Лист 2'!AU12),0)=0,1,CEILING((Расчет!$F$6/'Лист 2'!AU12),1))*IF(ROUND((Расчет!$D$6/BG12),0)=0,1,CEILING((Расчет!$D$6/BG12),1))</f>
        <v>2</v>
      </c>
      <c r="X12" s="43">
        <f>IF(ROUND((Расчет!$E$6/'Лист 2'!AJ12),0)=0,1,CEILING((Расчет!$E$6/'Лист 2'!AJ12),1))*IF(ROUND((Расчет!$F$6/'Лист 2'!AV12),0)=0,1,CEILING((Расчет!$F$6/'Лист 2'!AV12),1))*IF(ROUND((Расчет!$D$6/BH12),0)=0,1,CEILING((Расчет!$D$6/BH12),1))</f>
        <v>1</v>
      </c>
      <c r="Y12" s="43">
        <f>IF(ROUND((Расчет!$E$6/'Лист 2'!AK12),0)=0,1,CEILING((Расчет!$E$6/'Лист 2'!AK12),1))*IF(ROUND((Расчет!$F$6/'Лист 2'!AW12),0)=0,1,CEILING((Расчет!$F$6/'Лист 2'!AW12),1))*IF(ROUND((Расчет!$D$6/BI12),0)=0,1,CEILING((Расчет!$D$6/BI12),1))</f>
        <v>1</v>
      </c>
      <c r="Z12" s="43">
        <f>IF(ROUND((Расчет!$E$6/'Лист 2'!AL12),0)=0,1,CEILING((Расчет!$E$6/'Лист 2'!AL12),1))*IF(ROUND((Расчет!$F$6/'Лист 2'!AX12),0)=0,1,CEILING((Расчет!$F$6/'Лист 2'!AX12),1))*IF(ROUND((Расчет!$D$6/BJ12),0)=0,1,CEILING((Расчет!$D$6/BJ12),1))</f>
        <v>1</v>
      </c>
      <c r="AA12" s="43">
        <f>IF(ROUND((Расчет!$E$6/'Лист 2'!AM12),0)=0,1,CEILING((Расчет!$E$6/'Лист 2'!AM12),1))*IF(ROUND((Расчет!$F$6/'Лист 2'!AY12),0)=0,1,CEILING((Расчет!$F$6/'Лист 2'!AY12),1))*IF(ROUND((Расчет!$D$6/BK12),0)=0,1,CEILING((Расчет!$D$6/BK12),1))</f>
        <v>1</v>
      </c>
      <c r="AB12" s="43">
        <f>IF(ROUND((Расчет!$E$6/'Лист 2'!AN12),0)=0,1,CEILING((Расчет!$E$6/'Лист 2'!AN12),1))*IF(ROUND((Расчет!$F$6/'Лист 2'!AZ12),0)=0,1,CEILING((Расчет!$F$6/'Лист 2'!AZ12),1))*IF(ROUND((Расчет!$D$6/BL12),0)=0,1,CEILING((Расчет!$D$6/BL12),1))</f>
        <v>2</v>
      </c>
      <c r="AC12" s="43">
        <f>IF(ROUND((Расчет!$E$6/'Лист 2'!AO12),0)=0,1,CEILING((Расчет!$E$6/'Лист 2'!AO12),1))*IF(ROUND((Расчет!$F$6/'Лист 2'!BA12),0)=0,1,CEILING((Расчет!$F$6/'Лист 2'!BA12),1))*IF(ROUND((Расчет!$D$6/BM12),0)=0,1,CEILING((Расчет!$D$6/BM12),1))</f>
        <v>2</v>
      </c>
      <c r="AD12" s="43">
        <f>IF(ROUND((Расчет!$E$6/'Лист 2'!AP12),0)=0,1,CEILING((Расчет!$E$6/'Лист 2'!AP12),1))*IF(ROUND((Расчет!$F$6/'Лист 2'!BB12),0)=0,1,CEILING((Расчет!$F$6/'Лист 2'!BB12),1))*IF(ROUND((Расчет!$D$6/BN12),0)=0,1,CEILING((Расчет!$D$6/BN12),1))</f>
        <v>2</v>
      </c>
      <c r="AE12" s="43">
        <f>IF(ROUND((Расчет!$E$6/'Лист 2'!AQ12),0)=0,1,CEILING((Расчет!$E$6/'Лист 2'!AQ12),1))*IF(ROUND((Расчет!$F$6/'Лист 2'!BC12),0)=0,1,CEILING((Расчет!$F$6/'Лист 2'!BC12),1))*IF(ROUND((Расчет!$D$6/BO12),0)=0,1,CEILING((Расчет!$D$6/BO12),1))</f>
        <v>4</v>
      </c>
      <c r="AF12" s="43">
        <f>IF(ROUND((Расчет!$E$6/'Лист 2'!AR12),0)=0,1,CEILING((Расчет!$E$6/'Лист 2'!AR12),1))*IF(ROUND((Расчет!$F$6/'Лист 2'!BD12),0)=0,1,CEILING((Расчет!$F$6/'Лист 2'!BD12),1))*IF(ROUND((Расчет!$D$6/BP12),0)=0,1,CEILING((Расчет!$D$6/BP12),1))</f>
        <v>6</v>
      </c>
      <c r="AG12" s="43">
        <f>IF(ROUND((Расчет!$E$6/'Лист 2'!AS12),0)=0,1,CEILING((Расчет!$E$6/'Лист 2'!AS12),1))*IF(ROUND((Расчет!$F$6/'Лист 2'!BE12),0)=0,1,CEILING((Расчет!$F$6/'Лист 2'!BE12),1))*IF(ROUND((Расчет!$D$6/BQ12),0)=0,1,CEILING((Расчет!$D$6/BQ12),1))</f>
        <v>8</v>
      </c>
      <c r="AH12" s="71">
        <f>IF(ROUND((Расчет!$E$6/'Лист 2'!AT12),0)=0,1,CEILING((Расчет!$E$6/'Лист 2'!AT12),1))*IF(ROUND((Расчет!$F$6/'Лист 2'!BF12),0)=0,1,CEILING((Расчет!$F$6/'Лист 2'!BF12),1))*IF(ROUND((Расчет!$D$6/BR12),0)=0,1,CEILING((Расчет!$D$6/BR12),1))</f>
        <v>11</v>
      </c>
      <c r="AI12" s="43">
        <f t="shared" si="1"/>
        <v>1.8</v>
      </c>
      <c r="AJ12" s="30">
        <f t="shared" si="1"/>
        <v>2</v>
      </c>
      <c r="AK12" s="30">
        <f t="shared" si="1"/>
        <v>2.1</v>
      </c>
      <c r="AL12" s="30">
        <f t="shared" si="1"/>
        <v>2.2999999999999998</v>
      </c>
      <c r="AM12" s="30">
        <f t="shared" si="1"/>
        <v>2.5</v>
      </c>
      <c r="AN12" s="30">
        <f t="shared" si="1"/>
        <v>2.6</v>
      </c>
      <c r="AO12" s="30">
        <f t="shared" si="1"/>
        <v>2.8</v>
      </c>
      <c r="AP12" s="30">
        <f t="shared" si="1"/>
        <v>3</v>
      </c>
      <c r="AQ12" s="30">
        <f t="shared" si="1"/>
        <v>3.8</v>
      </c>
      <c r="AR12" s="30">
        <f t="shared" si="1"/>
        <v>4.7</v>
      </c>
      <c r="AS12" s="30">
        <f t="shared" si="1"/>
        <v>5.5</v>
      </c>
      <c r="AT12" s="47">
        <f t="shared" si="1"/>
        <v>6.3</v>
      </c>
      <c r="AU12" s="46">
        <f t="shared" si="2"/>
        <v>0.5</v>
      </c>
      <c r="AV12" s="30">
        <f t="shared" si="2"/>
        <v>0.7</v>
      </c>
      <c r="AW12" s="30">
        <f t="shared" si="2"/>
        <v>0.8</v>
      </c>
      <c r="AX12" s="30">
        <f t="shared" si="2"/>
        <v>1</v>
      </c>
      <c r="AY12" s="30">
        <f t="shared" si="2"/>
        <v>1.2</v>
      </c>
      <c r="AZ12" s="30">
        <f t="shared" si="2"/>
        <v>1.3</v>
      </c>
      <c r="BA12" s="30">
        <f t="shared" si="2"/>
        <v>1.5</v>
      </c>
      <c r="BB12" s="30">
        <f t="shared" si="2"/>
        <v>1.7</v>
      </c>
      <c r="BC12" s="30">
        <f t="shared" si="2"/>
        <v>2.5</v>
      </c>
      <c r="BD12" s="30">
        <f t="shared" si="2"/>
        <v>3.4</v>
      </c>
      <c r="BE12" s="30">
        <f t="shared" si="2"/>
        <v>4.2</v>
      </c>
      <c r="BF12" s="53">
        <f t="shared" si="2"/>
        <v>5</v>
      </c>
      <c r="BG12" s="46">
        <f t="shared" si="3"/>
        <v>234.88888888888889</v>
      </c>
      <c r="BH12" s="30">
        <f t="shared" si="3"/>
        <v>151</v>
      </c>
      <c r="BI12" s="30">
        <f t="shared" si="3"/>
        <v>125.83333333333333</v>
      </c>
      <c r="BJ12" s="30">
        <f t="shared" si="3"/>
        <v>91.913043478260875</v>
      </c>
      <c r="BK12" s="30">
        <f t="shared" si="3"/>
        <v>70.466666666666669</v>
      </c>
      <c r="BL12" s="30">
        <f t="shared" si="3"/>
        <v>62.544378698224847</v>
      </c>
      <c r="BM12" s="30">
        <f t="shared" si="3"/>
        <v>50.333333333333343</v>
      </c>
      <c r="BN12" s="30">
        <f t="shared" si="3"/>
        <v>41.450980392156865</v>
      </c>
      <c r="BO12" s="30">
        <f t="shared" si="3"/>
        <v>22.252631578947369</v>
      </c>
      <c r="BP12" s="30">
        <f t="shared" si="3"/>
        <v>13.229036295369211</v>
      </c>
      <c r="BQ12" s="30">
        <f t="shared" si="3"/>
        <v>9.1515151515151505</v>
      </c>
      <c r="BR12" s="47">
        <f t="shared" si="3"/>
        <v>6.7111111111111112</v>
      </c>
      <c r="BS12" s="43">
        <v>1.8</v>
      </c>
      <c r="BT12" s="164">
        <v>11759</v>
      </c>
    </row>
    <row r="13" spans="1:82" ht="15.75" hidden="1" thickBot="1" x14ac:dyDescent="0.3">
      <c r="B13" s="21"/>
      <c r="C13" s="21"/>
      <c r="D13" s="21"/>
      <c r="E13" s="21"/>
      <c r="F13" s="42"/>
      <c r="G13" s="49"/>
      <c r="H13" s="30"/>
      <c r="I13" s="47"/>
      <c r="J13" s="79">
        <f>MIN(J7:J12)</f>
        <v>6070</v>
      </c>
      <c r="K13" s="79">
        <f t="shared" ref="K13:U13" si="40">MIN(K7:K12)</f>
        <v>9878</v>
      </c>
      <c r="L13" s="79">
        <f t="shared" si="40"/>
        <v>9878</v>
      </c>
      <c r="M13" s="79">
        <f t="shared" si="40"/>
        <v>11759</v>
      </c>
      <c r="N13" s="79">
        <f t="shared" si="40"/>
        <v>11759</v>
      </c>
      <c r="O13" s="79">
        <f t="shared" si="40"/>
        <v>12078</v>
      </c>
      <c r="P13" s="79">
        <f t="shared" si="40"/>
        <v>14498</v>
      </c>
      <c r="Q13" s="79">
        <f t="shared" si="40"/>
        <v>18117</v>
      </c>
      <c r="R13" s="79">
        <f t="shared" si="40"/>
        <v>34573</v>
      </c>
      <c r="S13" s="79">
        <f t="shared" si="40"/>
        <v>57992</v>
      </c>
      <c r="T13" s="79">
        <f t="shared" si="40"/>
        <v>84546</v>
      </c>
      <c r="U13" s="80">
        <f t="shared" si="40"/>
        <v>114741</v>
      </c>
      <c r="V13" s="70"/>
      <c r="W13" s="46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71"/>
      <c r="AI13" s="43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47"/>
      <c r="AU13" s="46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53"/>
      <c r="BG13" s="46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47"/>
      <c r="BS13" s="55"/>
      <c r="BT13" s="166"/>
    </row>
    <row r="14" spans="1:82" ht="15" hidden="1" customHeight="1" thickBot="1" x14ac:dyDescent="0.3">
      <c r="A14" s="246" t="s">
        <v>89</v>
      </c>
      <c r="B14" s="29" t="s">
        <v>133</v>
      </c>
      <c r="C14" s="30">
        <v>24</v>
      </c>
      <c r="D14" s="30">
        <v>53</v>
      </c>
      <c r="E14" s="30" t="s">
        <v>82</v>
      </c>
      <c r="F14" s="41" t="s">
        <v>74</v>
      </c>
      <c r="G14" s="46">
        <v>0.63</v>
      </c>
      <c r="H14" s="30">
        <v>0.05</v>
      </c>
      <c r="I14" s="47">
        <v>7.0000000000000007E-2</v>
      </c>
      <c r="J14" s="76">
        <f t="shared" si="27"/>
        <v>8350</v>
      </c>
      <c r="K14" s="77">
        <f t="shared" si="28"/>
        <v>16700</v>
      </c>
      <c r="L14" s="77">
        <f t="shared" si="29"/>
        <v>16700</v>
      </c>
      <c r="M14" s="77">
        <f t="shared" si="30"/>
        <v>25050</v>
      </c>
      <c r="N14" s="77">
        <f t="shared" si="31"/>
        <v>25050</v>
      </c>
      <c r="O14" s="77">
        <f t="shared" si="32"/>
        <v>16700</v>
      </c>
      <c r="P14" s="77">
        <f t="shared" si="33"/>
        <v>20875</v>
      </c>
      <c r="Q14" s="77">
        <f t="shared" si="34"/>
        <v>25050</v>
      </c>
      <c r="R14" s="77">
        <f t="shared" si="35"/>
        <v>45925</v>
      </c>
      <c r="S14" s="77">
        <f t="shared" si="36"/>
        <v>75150</v>
      </c>
      <c r="T14" s="77">
        <f t="shared" si="37"/>
        <v>112725</v>
      </c>
      <c r="U14" s="78">
        <f t="shared" si="38"/>
        <v>158650</v>
      </c>
      <c r="V14" s="82">
        <f t="shared" si="39"/>
        <v>8350</v>
      </c>
      <c r="W14" s="46">
        <f>IF(ROUND((Расчет!$E$6/'Лист 2'!AI14),0)=0,1,CEILING((Расчет!$E$6/'Лист 2'!AI14),1))*IF(ROUND((Расчет!$F$6/'Лист 2'!AU14),0)=0,1,CEILING((Расчет!$F$6/'Лист 2'!AU14),1))*IF(ROUND((Расчет!$D$6/BG14),0)=0,1,CEILING((Расчет!$D$6/BG14),1))</f>
        <v>2</v>
      </c>
      <c r="X14" s="43">
        <f>IF(ROUND((Расчет!$E$6/'Лист 2'!AJ14),0)=0,1,CEILING((Расчет!$E$6/'Лист 2'!AJ14),1))*IF(ROUND((Расчет!$F$6/'Лист 2'!AV14),0)=0,1,CEILING((Расчет!$F$6/'Лист 2'!AV14),1))*IF(ROUND((Расчет!$D$6/BH14),0)=0,1,CEILING((Расчет!$D$6/BH14),1))</f>
        <v>4</v>
      </c>
      <c r="Y14" s="43">
        <f>IF(ROUND((Расчет!$E$6/'Лист 2'!AK14),0)=0,1,CEILING((Расчет!$E$6/'Лист 2'!AK14),1))*IF(ROUND((Расчет!$F$6/'Лист 2'!AW14),0)=0,1,CEILING((Расчет!$F$6/'Лист 2'!AW14),1))*IF(ROUND((Расчет!$D$6/BI14),0)=0,1,CEILING((Расчет!$D$6/BI14),1))</f>
        <v>4</v>
      </c>
      <c r="Z14" s="43">
        <f>IF(ROUND((Расчет!$E$6/'Лист 2'!AL14),0)=0,1,CEILING((Расчет!$E$6/'Лист 2'!AL14),1))*IF(ROUND((Расчет!$F$6/'Лист 2'!AX14),0)=0,1,CEILING((Расчет!$F$6/'Лист 2'!AX14),1))*IF(ROUND((Расчет!$D$6/BJ14),0)=0,1,CEILING((Расчет!$D$6/BJ14),1))</f>
        <v>6</v>
      </c>
      <c r="AA14" s="43">
        <f>IF(ROUND((Расчет!$E$6/'Лист 2'!AM14),0)=0,1,CEILING((Расчет!$E$6/'Лист 2'!AM14),1))*IF(ROUND((Расчет!$F$6/'Лист 2'!AY14),0)=0,1,CEILING((Расчет!$F$6/'Лист 2'!AY14),1))*IF(ROUND((Расчет!$D$6/BK14),0)=0,1,CEILING((Расчет!$D$6/BK14),1))</f>
        <v>6</v>
      </c>
      <c r="AB14" s="43">
        <f>IF(ROUND((Расчет!$E$6/'Лист 2'!AN14),0)=0,1,CEILING((Расчет!$E$6/'Лист 2'!AN14),1))*IF(ROUND((Расчет!$F$6/'Лист 2'!AZ14),0)=0,1,CEILING((Расчет!$F$6/'Лист 2'!AZ14),1))*IF(ROUND((Расчет!$D$6/BL14),0)=0,1,CEILING((Расчет!$D$6/BL14),1))</f>
        <v>4</v>
      </c>
      <c r="AC14" s="43">
        <f>IF(ROUND((Расчет!$E$6/'Лист 2'!AO14),0)=0,1,CEILING((Расчет!$E$6/'Лист 2'!AO14),1))*IF(ROUND((Расчет!$F$6/'Лист 2'!BA14),0)=0,1,CEILING((Расчет!$F$6/'Лист 2'!BA14),1))*IF(ROUND((Расчет!$D$6/BM14),0)=0,1,CEILING((Расчет!$D$6/BM14),1))</f>
        <v>5</v>
      </c>
      <c r="AD14" s="43">
        <f>IF(ROUND((Расчет!$E$6/'Лист 2'!AP14),0)=0,1,CEILING((Расчет!$E$6/'Лист 2'!AP14),1))*IF(ROUND((Расчет!$F$6/'Лист 2'!BB14),0)=0,1,CEILING((Расчет!$F$6/'Лист 2'!BB14),1))*IF(ROUND((Расчет!$D$6/BN14),0)=0,1,CEILING((Расчет!$D$6/BN14),1))</f>
        <v>6</v>
      </c>
      <c r="AE14" s="43">
        <f>IF(ROUND((Расчет!$E$6/'Лист 2'!AQ14),0)=0,1,CEILING((Расчет!$E$6/'Лист 2'!AQ14),1))*IF(ROUND((Расчет!$F$6/'Лист 2'!BC14),0)=0,1,CEILING((Расчет!$F$6/'Лист 2'!BC14),1))*IF(ROUND((Расчет!$D$6/BO14),0)=0,1,CEILING((Расчет!$D$6/BO14),1))</f>
        <v>11</v>
      </c>
      <c r="AF14" s="43">
        <f>IF(ROUND((Расчет!$E$6/'Лист 2'!AR14),0)=0,1,CEILING((Расчет!$E$6/'Лист 2'!AR14),1))*IF(ROUND((Расчет!$F$6/'Лист 2'!BD14),0)=0,1,CEILING((Расчет!$F$6/'Лист 2'!BD14),1))*IF(ROUND((Расчет!$D$6/BP14),0)=0,1,CEILING((Расчет!$D$6/BP14),1))</f>
        <v>18</v>
      </c>
      <c r="AG14" s="43">
        <f>IF(ROUND((Расчет!$E$6/'Лист 2'!AS14),0)=0,1,CEILING((Расчет!$E$6/'Лист 2'!AS14),1))*IF(ROUND((Расчет!$F$6/'Лист 2'!BE14),0)=0,1,CEILING((Расчет!$F$6/'Лист 2'!BE14),1))*IF(ROUND((Расчет!$D$6/BQ14),0)=0,1,CEILING((Расчет!$D$6/BQ14),1))</f>
        <v>27</v>
      </c>
      <c r="AH14" s="71">
        <f>IF(ROUND((Расчет!$E$6/'Лист 2'!AT14),0)=0,1,CEILING((Расчет!$E$6/'Лист 2'!AT14),1))*IF(ROUND((Расчет!$F$6/'Лист 2'!BF14),0)=0,1,CEILING((Расчет!$F$6/'Лист 2'!BF14),1))*IF(ROUND((Расчет!$D$6/BR14),0)=0,1,CEILING((Расчет!$D$6/BR14),1))</f>
        <v>38</v>
      </c>
      <c r="AI14" s="43">
        <f t="shared" ref="AI14:AT19" si="41">ROUND(((AI$5*TAN(3.14*2*$C$35/720))*2+$G14),1)</f>
        <v>1.1000000000000001</v>
      </c>
      <c r="AJ14" s="30">
        <f t="shared" si="41"/>
        <v>1.3</v>
      </c>
      <c r="AK14" s="30">
        <f t="shared" si="41"/>
        <v>1.5</v>
      </c>
      <c r="AL14" s="30">
        <f t="shared" si="41"/>
        <v>1.6</v>
      </c>
      <c r="AM14" s="30">
        <f t="shared" si="41"/>
        <v>1.8</v>
      </c>
      <c r="AN14" s="30">
        <f t="shared" si="41"/>
        <v>2</v>
      </c>
      <c r="AO14" s="30">
        <f t="shared" si="41"/>
        <v>2.1</v>
      </c>
      <c r="AP14" s="30">
        <f t="shared" si="41"/>
        <v>2.2999999999999998</v>
      </c>
      <c r="AQ14" s="30">
        <f t="shared" si="41"/>
        <v>3.1</v>
      </c>
      <c r="AR14" s="30">
        <f t="shared" si="41"/>
        <v>4</v>
      </c>
      <c r="AS14" s="30">
        <f t="shared" si="41"/>
        <v>4.8</v>
      </c>
      <c r="AT14" s="47">
        <f t="shared" si="41"/>
        <v>5.7</v>
      </c>
      <c r="AU14" s="46">
        <f t="shared" ref="AU14:BF19" si="42">ROUND(((AU$5*TAN(3.14*2*$C$35/720))*2),1)</f>
        <v>0.5</v>
      </c>
      <c r="AV14" s="30">
        <f t="shared" si="42"/>
        <v>0.7</v>
      </c>
      <c r="AW14" s="30">
        <f t="shared" si="42"/>
        <v>0.8</v>
      </c>
      <c r="AX14" s="30">
        <f t="shared" si="42"/>
        <v>1</v>
      </c>
      <c r="AY14" s="30">
        <f t="shared" si="42"/>
        <v>1.2</v>
      </c>
      <c r="AZ14" s="30">
        <f t="shared" si="42"/>
        <v>1.3</v>
      </c>
      <c r="BA14" s="30">
        <f t="shared" si="42"/>
        <v>1.5</v>
      </c>
      <c r="BB14" s="30">
        <f t="shared" si="42"/>
        <v>1.7</v>
      </c>
      <c r="BC14" s="30">
        <f t="shared" si="42"/>
        <v>2.5</v>
      </c>
      <c r="BD14" s="30">
        <f t="shared" si="42"/>
        <v>3.4</v>
      </c>
      <c r="BE14" s="30">
        <f t="shared" si="42"/>
        <v>4.2</v>
      </c>
      <c r="BF14" s="53">
        <f t="shared" si="42"/>
        <v>5</v>
      </c>
      <c r="BG14" s="46">
        <f t="shared" ref="BG14:BG24" si="43">$D14/(AU14*AI14)</f>
        <v>96.36363636363636</v>
      </c>
      <c r="BH14" s="30">
        <f t="shared" ref="BH14:BH24" si="44">$D14/(AV14*AJ14)</f>
        <v>58.241758241758248</v>
      </c>
      <c r="BI14" s="30">
        <f t="shared" ref="BI14:BI24" si="45">$D14/(AW14*AK14)</f>
        <v>44.166666666666657</v>
      </c>
      <c r="BJ14" s="30">
        <f t="shared" ref="BJ14:BJ24" si="46">$D14/(AX14*AL14)</f>
        <v>33.125</v>
      </c>
      <c r="BK14" s="30">
        <f t="shared" ref="BK14:BK24" si="47">$D14/(AY14*AM14)</f>
        <v>24.537037037037035</v>
      </c>
      <c r="BL14" s="30">
        <f t="shared" ref="BL14:BL24" si="48">$D14/(AZ14*AN14)</f>
        <v>20.384615384615383</v>
      </c>
      <c r="BM14" s="30">
        <f t="shared" ref="BM14:BM24" si="49">$D14/(BA14*AO14)</f>
        <v>16.825396825396822</v>
      </c>
      <c r="BN14" s="30">
        <f t="shared" ref="BN14:BN24" si="50">$D14/(BB14*AP14)</f>
        <v>13.554987212276217</v>
      </c>
      <c r="BO14" s="30">
        <f t="shared" ref="BO14:BO24" si="51">$D14/(BC14*AQ14)</f>
        <v>6.838709677419355</v>
      </c>
      <c r="BP14" s="30">
        <f t="shared" ref="BP14:BP24" si="52">$D14/(BD14*AR14)</f>
        <v>3.8970588235294117</v>
      </c>
      <c r="BQ14" s="30">
        <f t="shared" ref="BQ14:BQ24" si="53">$D14/(BE14*AS14)</f>
        <v>2.628968253968254</v>
      </c>
      <c r="BR14" s="47">
        <f t="shared" ref="BR14:BR24" si="54">$D14/(BF14*AT14)</f>
        <v>1.8596491228070176</v>
      </c>
      <c r="BS14" s="43">
        <v>0.9</v>
      </c>
      <c r="BT14" s="164">
        <v>4175</v>
      </c>
    </row>
    <row r="15" spans="1:82" ht="15" hidden="1" customHeight="1" x14ac:dyDescent="0.25">
      <c r="A15" s="246"/>
      <c r="B15" s="29" t="s">
        <v>79</v>
      </c>
      <c r="C15" s="30">
        <v>32</v>
      </c>
      <c r="D15" s="30">
        <v>79.400000000000006</v>
      </c>
      <c r="E15" s="30" t="s">
        <v>80</v>
      </c>
      <c r="F15" s="41" t="s">
        <v>74</v>
      </c>
      <c r="G15" s="46">
        <v>0.49</v>
      </c>
      <c r="H15" s="30">
        <v>0.05</v>
      </c>
      <c r="I15" s="47">
        <v>7.0000000000000007E-2</v>
      </c>
      <c r="J15" s="76">
        <f t="shared" ref="J15" si="55">W15*$BT15</f>
        <v>9878</v>
      </c>
      <c r="K15" s="135">
        <f t="shared" ref="K15" si="56">X15*$BT15</f>
        <v>9878</v>
      </c>
      <c r="L15" s="135">
        <f t="shared" ref="L15" si="57">Y15*$BT15</f>
        <v>9878</v>
      </c>
      <c r="M15" s="135">
        <f t="shared" ref="M15" si="58">Z15*$BT15</f>
        <v>19756</v>
      </c>
      <c r="N15" s="135">
        <f t="shared" ref="N15" si="59">AA15*$BT15</f>
        <v>19756</v>
      </c>
      <c r="O15" s="135">
        <f t="shared" ref="O15" si="60">AB15*$BT15</f>
        <v>29634</v>
      </c>
      <c r="P15" s="135">
        <f t="shared" ref="P15" si="61">AC15*$BT15</f>
        <v>14817</v>
      </c>
      <c r="Q15" s="135">
        <f t="shared" ref="Q15" si="62">AD15*$BT15</f>
        <v>19756</v>
      </c>
      <c r="R15" s="135">
        <f t="shared" ref="R15" si="63">AE15*$BT15</f>
        <v>34573</v>
      </c>
      <c r="S15" s="135">
        <f t="shared" ref="S15" si="64">AF15*$BT15</f>
        <v>59268</v>
      </c>
      <c r="T15" s="135">
        <f t="shared" ref="T15" si="65">AG15*$BT15</f>
        <v>88902</v>
      </c>
      <c r="U15" s="78">
        <f t="shared" ref="U15" si="66">AH15*$BT15</f>
        <v>123475</v>
      </c>
      <c r="V15" s="82">
        <f t="shared" ref="V15" si="67">MIN(J15:U15)</f>
        <v>9878</v>
      </c>
      <c r="W15" s="46">
        <f>IF(ROUND((Расчет!$E$6/'Лист 2'!AI15),0)=0,1,CEILING((Расчет!$E$6/'Лист 2'!AI15),1))*IF(ROUND((Расчет!$F$6/'Лист 2'!AU15),0)=0,1,CEILING((Расчет!$F$6/'Лист 2'!AU15),1))*IF(ROUND((Расчет!$D$6/BG15),0)=0,1,CEILING((Расчет!$D$6/BG15),1))</f>
        <v>2</v>
      </c>
      <c r="X15" s="134">
        <f>IF(ROUND((Расчет!$E$6/'Лист 2'!AJ15),0)=0,1,CEILING((Расчет!$E$6/'Лист 2'!AJ15),1))*IF(ROUND((Расчет!$F$6/'Лист 2'!AV15),0)=0,1,CEILING((Расчет!$F$6/'Лист 2'!AV15),1))*IF(ROUND((Расчет!$D$6/BH15),0)=0,1,CEILING((Расчет!$D$6/BH15),1))</f>
        <v>2</v>
      </c>
      <c r="Y15" s="134">
        <f>IF(ROUND((Расчет!$E$6/'Лист 2'!AK15),0)=0,1,CEILING((Расчет!$E$6/'Лист 2'!AK15),1))*IF(ROUND((Расчет!$F$6/'Лист 2'!AW15),0)=0,1,CEILING((Расчет!$F$6/'Лист 2'!AW15),1))*IF(ROUND((Расчет!$D$6/BI15),0)=0,1,CEILING((Расчет!$D$6/BI15),1))</f>
        <v>2</v>
      </c>
      <c r="Z15" s="134">
        <f>IF(ROUND((Расчет!$E$6/'Лист 2'!AL15),0)=0,1,CEILING((Расчет!$E$6/'Лист 2'!AL15),1))*IF(ROUND((Расчет!$F$6/'Лист 2'!AX15),0)=0,1,CEILING((Расчет!$F$6/'Лист 2'!AX15),1))*IF(ROUND((Расчет!$D$6/BJ15),0)=0,1,CEILING((Расчет!$D$6/BJ15),1))</f>
        <v>4</v>
      </c>
      <c r="AA15" s="134">
        <f>IF(ROUND((Расчет!$E$6/'Лист 2'!AM15),0)=0,1,CEILING((Расчет!$E$6/'Лист 2'!AM15),1))*IF(ROUND((Расчет!$F$6/'Лист 2'!AY15),0)=0,1,CEILING((Расчет!$F$6/'Лист 2'!AY15),1))*IF(ROUND((Расчет!$D$6/BK15),0)=0,1,CEILING((Расчет!$D$6/BK15),1))</f>
        <v>4</v>
      </c>
      <c r="AB15" s="134">
        <f>IF(ROUND((Расчет!$E$6/'Лист 2'!AN15),0)=0,1,CEILING((Расчет!$E$6/'Лист 2'!AN15),1))*IF(ROUND((Расчет!$F$6/'Лист 2'!AZ15),0)=0,1,CEILING((Расчет!$F$6/'Лист 2'!AZ15),1))*IF(ROUND((Расчет!$D$6/BL15),0)=0,1,CEILING((Расчет!$D$6/BL15),1))</f>
        <v>6</v>
      </c>
      <c r="AC15" s="134">
        <f>IF(ROUND((Расчет!$E$6/'Лист 2'!AO15),0)=0,1,CEILING((Расчет!$E$6/'Лист 2'!AO15),1))*IF(ROUND((Расчет!$F$6/'Лист 2'!BA15),0)=0,1,CEILING((Расчет!$F$6/'Лист 2'!BA15),1))*IF(ROUND((Расчет!$D$6/BM15),0)=0,1,CEILING((Расчет!$D$6/BM15),1))</f>
        <v>3</v>
      </c>
      <c r="AD15" s="134">
        <f>IF(ROUND((Расчет!$E$6/'Лист 2'!AP15),0)=0,1,CEILING((Расчет!$E$6/'Лист 2'!AP15),1))*IF(ROUND((Расчет!$F$6/'Лист 2'!BB15),0)=0,1,CEILING((Расчет!$F$6/'Лист 2'!BB15),1))*IF(ROUND((Расчет!$D$6/BN15),0)=0,1,CEILING((Расчет!$D$6/BN15),1))</f>
        <v>4</v>
      </c>
      <c r="AE15" s="134">
        <f>IF(ROUND((Расчет!$E$6/'Лист 2'!AQ15),0)=0,1,CEILING((Расчет!$E$6/'Лист 2'!AQ15),1))*IF(ROUND((Расчет!$F$6/'Лист 2'!BC15),0)=0,1,CEILING((Расчет!$F$6/'Лист 2'!BC15),1))*IF(ROUND((Расчет!$D$6/BO15),0)=0,1,CEILING((Расчет!$D$6/BO15),1))</f>
        <v>7</v>
      </c>
      <c r="AF15" s="134">
        <f>IF(ROUND((Расчет!$E$6/'Лист 2'!AR15),0)=0,1,CEILING((Расчет!$E$6/'Лист 2'!AR15),1))*IF(ROUND((Расчет!$F$6/'Лист 2'!BD15),0)=0,1,CEILING((Расчет!$F$6/'Лист 2'!BD15),1))*IF(ROUND((Расчет!$D$6/BP15),0)=0,1,CEILING((Расчет!$D$6/BP15),1))</f>
        <v>12</v>
      </c>
      <c r="AG15" s="134">
        <f>IF(ROUND((Расчет!$E$6/'Лист 2'!AS15),0)=0,1,CEILING((Расчет!$E$6/'Лист 2'!AS15),1))*IF(ROUND((Расчет!$F$6/'Лист 2'!BE15),0)=0,1,CEILING((Расчет!$F$6/'Лист 2'!BE15),1))*IF(ROUND((Расчет!$D$6/BQ15),0)=0,1,CEILING((Расчет!$D$6/BQ15),1))</f>
        <v>18</v>
      </c>
      <c r="AH15" s="71">
        <f>IF(ROUND((Расчет!$E$6/'Лист 2'!AT15),0)=0,1,CEILING((Расчет!$E$6/'Лист 2'!AT15),1))*IF(ROUND((Расчет!$F$6/'Лист 2'!BF15),0)=0,1,CEILING((Расчет!$F$6/'Лист 2'!BF15),1))*IF(ROUND((Расчет!$D$6/BR15),0)=0,1,CEILING((Расчет!$D$6/BR15),1))</f>
        <v>25</v>
      </c>
      <c r="AI15" s="134">
        <f t="shared" si="41"/>
        <v>1</v>
      </c>
      <c r="AJ15" s="30">
        <f t="shared" si="41"/>
        <v>1.2</v>
      </c>
      <c r="AK15" s="30">
        <f t="shared" si="41"/>
        <v>1.3</v>
      </c>
      <c r="AL15" s="30">
        <f t="shared" si="41"/>
        <v>1.5</v>
      </c>
      <c r="AM15" s="30">
        <f t="shared" si="41"/>
        <v>1.7</v>
      </c>
      <c r="AN15" s="30">
        <f t="shared" si="41"/>
        <v>1.8</v>
      </c>
      <c r="AO15" s="30">
        <f t="shared" si="41"/>
        <v>2</v>
      </c>
      <c r="AP15" s="30">
        <f t="shared" si="41"/>
        <v>2.2000000000000002</v>
      </c>
      <c r="AQ15" s="30">
        <f t="shared" si="41"/>
        <v>3</v>
      </c>
      <c r="AR15" s="30">
        <f t="shared" si="41"/>
        <v>3.8</v>
      </c>
      <c r="AS15" s="30">
        <f t="shared" si="41"/>
        <v>4.7</v>
      </c>
      <c r="AT15" s="47">
        <f t="shared" si="41"/>
        <v>5.5</v>
      </c>
      <c r="AU15" s="46">
        <f t="shared" si="42"/>
        <v>0.5</v>
      </c>
      <c r="AV15" s="30">
        <f t="shared" si="42"/>
        <v>0.7</v>
      </c>
      <c r="AW15" s="30">
        <f t="shared" si="42"/>
        <v>0.8</v>
      </c>
      <c r="AX15" s="30">
        <f t="shared" si="42"/>
        <v>1</v>
      </c>
      <c r="AY15" s="30">
        <f t="shared" si="42"/>
        <v>1.2</v>
      </c>
      <c r="AZ15" s="30">
        <f t="shared" si="42"/>
        <v>1.3</v>
      </c>
      <c r="BA15" s="30">
        <f t="shared" si="42"/>
        <v>1.5</v>
      </c>
      <c r="BB15" s="30">
        <f t="shared" si="42"/>
        <v>1.7</v>
      </c>
      <c r="BC15" s="30">
        <f t="shared" si="42"/>
        <v>2.5</v>
      </c>
      <c r="BD15" s="30">
        <f t="shared" si="42"/>
        <v>3.4</v>
      </c>
      <c r="BE15" s="30">
        <f t="shared" si="42"/>
        <v>4.2</v>
      </c>
      <c r="BF15" s="53">
        <f t="shared" si="42"/>
        <v>5</v>
      </c>
      <c r="BG15" s="46">
        <f t="shared" ref="BG15" si="68">$D15/(AU15*AI15)</f>
        <v>158.80000000000001</v>
      </c>
      <c r="BH15" s="30">
        <f t="shared" ref="BH15" si="69">$D15/(AV15*AJ15)</f>
        <v>94.523809523809533</v>
      </c>
      <c r="BI15" s="30">
        <f t="shared" ref="BI15" si="70">$D15/(AW15*AK15)</f>
        <v>76.346153846153854</v>
      </c>
      <c r="BJ15" s="30">
        <f t="shared" ref="BJ15" si="71">$D15/(AX15*AL15)</f>
        <v>52.933333333333337</v>
      </c>
      <c r="BK15" s="30">
        <f t="shared" ref="BK15" si="72">$D15/(AY15*AM15)</f>
        <v>38.921568627450981</v>
      </c>
      <c r="BL15" s="30">
        <f t="shared" ref="BL15" si="73">$D15/(AZ15*AN15)</f>
        <v>33.931623931623932</v>
      </c>
      <c r="BM15" s="30">
        <f t="shared" ref="BM15" si="74">$D15/(BA15*AO15)</f>
        <v>26.466666666666669</v>
      </c>
      <c r="BN15" s="30">
        <f t="shared" ref="BN15" si="75">$D15/(BB15*AP15)</f>
        <v>21.229946524064172</v>
      </c>
      <c r="BO15" s="30">
        <f t="shared" ref="BO15" si="76">$D15/(BC15*AQ15)</f>
        <v>10.586666666666668</v>
      </c>
      <c r="BP15" s="30">
        <f t="shared" ref="BP15" si="77">$D15/(BD15*AR15)</f>
        <v>6.1455108359133135</v>
      </c>
      <c r="BQ15" s="30">
        <f t="shared" ref="BQ15" si="78">$D15/(BE15*AS15)</f>
        <v>4.0222897669706184</v>
      </c>
      <c r="BR15" s="47">
        <f t="shared" ref="BR15" si="79">$D15/(BF15*AT15)</f>
        <v>2.8872727272727277</v>
      </c>
      <c r="BS15" s="134">
        <v>0.8</v>
      </c>
      <c r="BT15" s="164">
        <v>4939</v>
      </c>
    </row>
    <row r="16" spans="1:82" ht="15" hidden="1" customHeight="1" x14ac:dyDescent="0.25">
      <c r="A16" s="246"/>
      <c r="B16" s="32" t="s">
        <v>81</v>
      </c>
      <c r="C16" s="33">
        <v>48</v>
      </c>
      <c r="D16" s="33">
        <v>105.9</v>
      </c>
      <c r="E16" s="33" t="s">
        <v>82</v>
      </c>
      <c r="F16" s="41" t="s">
        <v>35</v>
      </c>
      <c r="G16" s="48">
        <v>0.63</v>
      </c>
      <c r="H16" s="30">
        <v>0.05</v>
      </c>
      <c r="I16" s="47">
        <v>7.0000000000000007E-2</v>
      </c>
      <c r="J16" s="46">
        <f t="shared" si="27"/>
        <v>12078</v>
      </c>
      <c r="K16" s="43">
        <f t="shared" si="28"/>
        <v>12078</v>
      </c>
      <c r="L16" s="43">
        <f t="shared" si="29"/>
        <v>12078</v>
      </c>
      <c r="M16" s="43">
        <f t="shared" si="30"/>
        <v>24156</v>
      </c>
      <c r="N16" s="43">
        <f t="shared" si="31"/>
        <v>24156</v>
      </c>
      <c r="O16" s="43">
        <f t="shared" si="32"/>
        <v>12078</v>
      </c>
      <c r="P16" s="43">
        <f t="shared" si="33"/>
        <v>18117</v>
      </c>
      <c r="Q16" s="43">
        <f t="shared" si="34"/>
        <v>18117</v>
      </c>
      <c r="R16" s="43">
        <f t="shared" si="35"/>
        <v>36234</v>
      </c>
      <c r="S16" s="43">
        <f t="shared" si="36"/>
        <v>54351</v>
      </c>
      <c r="T16" s="43">
        <f t="shared" si="37"/>
        <v>84546</v>
      </c>
      <c r="U16" s="71">
        <f t="shared" si="38"/>
        <v>114741</v>
      </c>
      <c r="V16" s="68">
        <f t="shared" si="39"/>
        <v>12078</v>
      </c>
      <c r="W16" s="46">
        <f>IF(ROUND((Расчет!$E$6/'Лист 2'!AI16),0)=0,1,CEILING((Расчет!$E$6/'Лист 2'!AI16),1))*IF(ROUND((Расчет!$F$6/'Лист 2'!AU16),0)=0,1,CEILING((Расчет!$F$6/'Лист 2'!AU16),1))*IF(ROUND((Расчет!$D$6/BG16),0)=0,1,CEILING((Расчет!$D$6/BG16),1))</f>
        <v>2</v>
      </c>
      <c r="X16" s="43">
        <f>IF(ROUND((Расчет!$E$6/'Лист 2'!AJ16),0)=0,1,CEILING((Расчет!$E$6/'Лист 2'!AJ16),1))*IF(ROUND((Расчет!$F$6/'Лист 2'!AV16),0)=0,1,CEILING((Расчет!$F$6/'Лист 2'!AV16),1))*IF(ROUND((Расчет!$D$6/BH16),0)=0,1,CEILING((Расчет!$D$6/BH16),1))</f>
        <v>2</v>
      </c>
      <c r="Y16" s="43">
        <f>IF(ROUND((Расчет!$E$6/'Лист 2'!AK16),0)=0,1,CEILING((Расчет!$E$6/'Лист 2'!AK16),1))*IF(ROUND((Расчет!$F$6/'Лист 2'!AW16),0)=0,1,CEILING((Расчет!$F$6/'Лист 2'!AW16),1))*IF(ROUND((Расчет!$D$6/BI16),0)=0,1,CEILING((Расчет!$D$6/BI16),1))</f>
        <v>2</v>
      </c>
      <c r="Z16" s="43">
        <f>IF(ROUND((Расчет!$E$6/'Лист 2'!AL16),0)=0,1,CEILING((Расчет!$E$6/'Лист 2'!AL16),1))*IF(ROUND((Расчет!$F$6/'Лист 2'!AX16),0)=0,1,CEILING((Расчет!$F$6/'Лист 2'!AX16),1))*IF(ROUND((Расчет!$D$6/BJ16),0)=0,1,CEILING((Расчет!$D$6/BJ16),1))</f>
        <v>4</v>
      </c>
      <c r="AA16" s="43">
        <f>IF(ROUND((Расчет!$E$6/'Лист 2'!AM16),0)=0,1,CEILING((Расчет!$E$6/'Лист 2'!AM16),1))*IF(ROUND((Расчет!$F$6/'Лист 2'!AY16),0)=0,1,CEILING((Расчет!$F$6/'Лист 2'!AY16),1))*IF(ROUND((Расчет!$D$6/BK16),0)=0,1,CEILING((Расчет!$D$6/BK16),1))</f>
        <v>4</v>
      </c>
      <c r="AB16" s="43">
        <f>IF(ROUND((Расчет!$E$6/'Лист 2'!AN16),0)=0,1,CEILING((Расчет!$E$6/'Лист 2'!AN16),1))*IF(ROUND((Расчет!$F$6/'Лист 2'!AZ16),0)=0,1,CEILING((Расчет!$F$6/'Лист 2'!AZ16),1))*IF(ROUND((Расчет!$D$6/BL16),0)=0,1,CEILING((Расчет!$D$6/BL16),1))</f>
        <v>2</v>
      </c>
      <c r="AC16" s="43">
        <f>IF(ROUND((Расчет!$E$6/'Лист 2'!AO16),0)=0,1,CEILING((Расчет!$E$6/'Лист 2'!AO16),1))*IF(ROUND((Расчет!$F$6/'Лист 2'!BA16),0)=0,1,CEILING((Расчет!$F$6/'Лист 2'!BA16),1))*IF(ROUND((Расчет!$D$6/BM16),0)=0,1,CEILING((Расчет!$D$6/BM16),1))</f>
        <v>3</v>
      </c>
      <c r="AD16" s="43">
        <f>IF(ROUND((Расчет!$E$6/'Лист 2'!AP16),0)=0,1,CEILING((Расчет!$E$6/'Лист 2'!AP16),1))*IF(ROUND((Расчет!$F$6/'Лист 2'!BB16),0)=0,1,CEILING((Расчет!$F$6/'Лист 2'!BB16),1))*IF(ROUND((Расчет!$D$6/BN16),0)=0,1,CEILING((Расчет!$D$6/BN16),1))</f>
        <v>3</v>
      </c>
      <c r="AE16" s="43">
        <f>IF(ROUND((Расчет!$E$6/'Лист 2'!AQ16),0)=0,1,CEILING((Расчет!$E$6/'Лист 2'!AQ16),1))*IF(ROUND((Расчет!$F$6/'Лист 2'!BC16),0)=0,1,CEILING((Расчет!$F$6/'Лист 2'!BC16),1))*IF(ROUND((Расчет!$D$6/BO16),0)=0,1,CEILING((Расчет!$D$6/BO16),1))</f>
        <v>6</v>
      </c>
      <c r="AF16" s="43">
        <f>IF(ROUND((Расчет!$E$6/'Лист 2'!AR16),0)=0,1,CEILING((Расчет!$E$6/'Лист 2'!AR16),1))*IF(ROUND((Расчет!$F$6/'Лист 2'!BD16),0)=0,1,CEILING((Расчет!$F$6/'Лист 2'!BD16),1))*IF(ROUND((Расчет!$D$6/BP16),0)=0,1,CEILING((Расчет!$D$6/BP16),1))</f>
        <v>9</v>
      </c>
      <c r="AG16" s="43">
        <f>IF(ROUND((Расчет!$E$6/'Лист 2'!AS16),0)=0,1,CEILING((Расчет!$E$6/'Лист 2'!AS16),1))*IF(ROUND((Расчет!$F$6/'Лист 2'!BE16),0)=0,1,CEILING((Расчет!$F$6/'Лист 2'!BE16),1))*IF(ROUND((Расчет!$D$6/BQ16),0)=0,1,CEILING((Расчет!$D$6/BQ16),1))</f>
        <v>14</v>
      </c>
      <c r="AH16" s="71">
        <f>IF(ROUND((Расчет!$E$6/'Лист 2'!AT16),0)=0,1,CEILING((Расчет!$E$6/'Лист 2'!AT16),1))*IF(ROUND((Расчет!$F$6/'Лист 2'!BF16),0)=0,1,CEILING((Расчет!$F$6/'Лист 2'!BF16),1))*IF(ROUND((Расчет!$D$6/BR16),0)=0,1,CEILING((Расчет!$D$6/BR16),1))</f>
        <v>19</v>
      </c>
      <c r="AI16" s="43">
        <f t="shared" si="41"/>
        <v>1.1000000000000001</v>
      </c>
      <c r="AJ16" s="30">
        <f t="shared" si="41"/>
        <v>1.3</v>
      </c>
      <c r="AK16" s="30">
        <f t="shared" si="41"/>
        <v>1.5</v>
      </c>
      <c r="AL16" s="30">
        <f t="shared" si="41"/>
        <v>1.6</v>
      </c>
      <c r="AM16" s="30">
        <f t="shared" si="41"/>
        <v>1.8</v>
      </c>
      <c r="AN16" s="30">
        <f t="shared" si="41"/>
        <v>2</v>
      </c>
      <c r="AO16" s="30">
        <f t="shared" si="41"/>
        <v>2.1</v>
      </c>
      <c r="AP16" s="30">
        <f t="shared" si="41"/>
        <v>2.2999999999999998</v>
      </c>
      <c r="AQ16" s="30">
        <f t="shared" si="41"/>
        <v>3.1</v>
      </c>
      <c r="AR16" s="30">
        <f t="shared" si="41"/>
        <v>4</v>
      </c>
      <c r="AS16" s="30">
        <f t="shared" si="41"/>
        <v>4.8</v>
      </c>
      <c r="AT16" s="47">
        <f t="shared" si="41"/>
        <v>5.7</v>
      </c>
      <c r="AU16" s="46">
        <f t="shared" si="42"/>
        <v>0.5</v>
      </c>
      <c r="AV16" s="30">
        <f t="shared" si="42"/>
        <v>0.7</v>
      </c>
      <c r="AW16" s="30">
        <f t="shared" si="42"/>
        <v>0.8</v>
      </c>
      <c r="AX16" s="30">
        <f t="shared" si="42"/>
        <v>1</v>
      </c>
      <c r="AY16" s="30">
        <f t="shared" si="42"/>
        <v>1.2</v>
      </c>
      <c r="AZ16" s="30">
        <f t="shared" si="42"/>
        <v>1.3</v>
      </c>
      <c r="BA16" s="30">
        <f t="shared" si="42"/>
        <v>1.5</v>
      </c>
      <c r="BB16" s="30">
        <f t="shared" si="42"/>
        <v>1.7</v>
      </c>
      <c r="BC16" s="30">
        <f t="shared" si="42"/>
        <v>2.5</v>
      </c>
      <c r="BD16" s="30">
        <f t="shared" si="42"/>
        <v>3.4</v>
      </c>
      <c r="BE16" s="30">
        <f t="shared" si="42"/>
        <v>4.2</v>
      </c>
      <c r="BF16" s="53">
        <f t="shared" si="42"/>
        <v>5</v>
      </c>
      <c r="BG16" s="46">
        <f t="shared" si="43"/>
        <v>192.54545454545453</v>
      </c>
      <c r="BH16" s="30">
        <f t="shared" si="44"/>
        <v>116.37362637362639</v>
      </c>
      <c r="BI16" s="30">
        <f t="shared" si="45"/>
        <v>88.249999999999986</v>
      </c>
      <c r="BJ16" s="30">
        <f t="shared" si="46"/>
        <v>66.1875</v>
      </c>
      <c r="BK16" s="30">
        <f t="shared" si="47"/>
        <v>49.027777777777779</v>
      </c>
      <c r="BL16" s="30">
        <f t="shared" si="48"/>
        <v>40.730769230769234</v>
      </c>
      <c r="BM16" s="30">
        <f t="shared" si="49"/>
        <v>33.61904761904762</v>
      </c>
      <c r="BN16" s="30">
        <f t="shared" si="50"/>
        <v>27.084398976982101</v>
      </c>
      <c r="BO16" s="30">
        <f t="shared" si="51"/>
        <v>13.664516129032259</v>
      </c>
      <c r="BP16" s="30">
        <f t="shared" si="52"/>
        <v>7.7867647058823533</v>
      </c>
      <c r="BQ16" s="30">
        <f t="shared" si="53"/>
        <v>5.2529761904761907</v>
      </c>
      <c r="BR16" s="47">
        <f t="shared" si="54"/>
        <v>3.7157894736842105</v>
      </c>
      <c r="BS16" s="54">
        <v>0.9</v>
      </c>
      <c r="BT16" s="165">
        <v>6039</v>
      </c>
    </row>
    <row r="17" spans="1:72" ht="15" hidden="1" customHeight="1" x14ac:dyDescent="0.25">
      <c r="A17" s="246"/>
      <c r="B17" s="29" t="s">
        <v>83</v>
      </c>
      <c r="C17" s="30">
        <v>56</v>
      </c>
      <c r="D17" s="30">
        <v>132.30000000000001</v>
      </c>
      <c r="E17" s="30" t="s">
        <v>84</v>
      </c>
      <c r="F17" s="41" t="s">
        <v>39</v>
      </c>
      <c r="G17" s="46">
        <v>0.77</v>
      </c>
      <c r="H17" s="30">
        <v>0.05</v>
      </c>
      <c r="I17" s="47">
        <v>7.0000000000000007E-2</v>
      </c>
      <c r="J17" s="46">
        <f t="shared" si="27"/>
        <v>14498</v>
      </c>
      <c r="K17" s="43">
        <f t="shared" si="28"/>
        <v>14498</v>
      </c>
      <c r="L17" s="43">
        <f t="shared" si="29"/>
        <v>14498</v>
      </c>
      <c r="M17" s="43">
        <f t="shared" si="30"/>
        <v>14498</v>
      </c>
      <c r="N17" s="43">
        <f t="shared" si="31"/>
        <v>28996</v>
      </c>
      <c r="O17" s="43">
        <f t="shared" si="32"/>
        <v>14498</v>
      </c>
      <c r="P17" s="43">
        <f t="shared" si="33"/>
        <v>14498</v>
      </c>
      <c r="Q17" s="43">
        <f t="shared" si="34"/>
        <v>21747</v>
      </c>
      <c r="R17" s="43">
        <f t="shared" si="35"/>
        <v>36245</v>
      </c>
      <c r="S17" s="43">
        <f t="shared" si="36"/>
        <v>57992</v>
      </c>
      <c r="T17" s="43">
        <f t="shared" si="37"/>
        <v>86988</v>
      </c>
      <c r="U17" s="71">
        <f t="shared" si="38"/>
        <v>115984</v>
      </c>
      <c r="V17" s="68">
        <f t="shared" si="39"/>
        <v>14498</v>
      </c>
      <c r="W17" s="46">
        <f>IF(ROUND((Расчет!$E$6/'Лист 2'!AI17),0)=0,1,CEILING((Расчет!$E$6/'Лист 2'!AI17),1))*IF(ROUND((Расчет!$F$6/'Лист 2'!AU17),0)=0,1,CEILING((Расчет!$F$6/'Лист 2'!AU17),1))*IF(ROUND((Расчет!$D$6/BG17),0)=0,1,CEILING((Расчет!$D$6/BG17),1))</f>
        <v>2</v>
      </c>
      <c r="X17" s="43">
        <f>IF(ROUND((Расчет!$E$6/'Лист 2'!AJ17),0)=0,1,CEILING((Расчет!$E$6/'Лист 2'!AJ17),1))*IF(ROUND((Расчет!$F$6/'Лист 2'!AV17),0)=0,1,CEILING((Расчет!$F$6/'Лист 2'!AV17),1))*IF(ROUND((Расчет!$D$6/BH17),0)=0,1,CEILING((Расчет!$D$6/BH17),1))</f>
        <v>2</v>
      </c>
      <c r="Y17" s="43">
        <f>IF(ROUND((Расчет!$E$6/'Лист 2'!AK17),0)=0,1,CEILING((Расчет!$E$6/'Лист 2'!AK17),1))*IF(ROUND((Расчет!$F$6/'Лист 2'!AW17),0)=0,1,CEILING((Расчет!$F$6/'Лист 2'!AW17),1))*IF(ROUND((Расчет!$D$6/BI17),0)=0,1,CEILING((Расчет!$D$6/BI17),1))</f>
        <v>2</v>
      </c>
      <c r="Z17" s="43">
        <f>IF(ROUND((Расчет!$E$6/'Лист 2'!AL17),0)=0,1,CEILING((Расчет!$E$6/'Лист 2'!AL17),1))*IF(ROUND((Расчет!$F$6/'Лист 2'!AX17),0)=0,1,CEILING((Расчет!$F$6/'Лист 2'!AX17),1))*IF(ROUND((Расчет!$D$6/BJ17),0)=0,1,CEILING((Расчет!$D$6/BJ17),1))</f>
        <v>2</v>
      </c>
      <c r="AA17" s="43">
        <f>IF(ROUND((Расчет!$E$6/'Лист 2'!AM17),0)=0,1,CEILING((Расчет!$E$6/'Лист 2'!AM17),1))*IF(ROUND((Расчет!$F$6/'Лист 2'!AY17),0)=0,1,CEILING((Расчет!$F$6/'Лист 2'!AY17),1))*IF(ROUND((Расчет!$D$6/BK17),0)=0,1,CEILING((Расчет!$D$6/BK17),1))</f>
        <v>4</v>
      </c>
      <c r="AB17" s="43">
        <f>IF(ROUND((Расчет!$E$6/'Лист 2'!AN17),0)=0,1,CEILING((Расчет!$E$6/'Лист 2'!AN17),1))*IF(ROUND((Расчет!$F$6/'Лист 2'!AZ17),0)=0,1,CEILING((Расчет!$F$6/'Лист 2'!AZ17),1))*IF(ROUND((Расчет!$D$6/BL17),0)=0,1,CEILING((Расчет!$D$6/BL17),1))</f>
        <v>2</v>
      </c>
      <c r="AC17" s="43">
        <f>IF(ROUND((Расчет!$E$6/'Лист 2'!AO17),0)=0,1,CEILING((Расчет!$E$6/'Лист 2'!AO17),1))*IF(ROUND((Расчет!$F$6/'Лист 2'!BA17),0)=0,1,CEILING((Расчет!$F$6/'Лист 2'!BA17),1))*IF(ROUND((Расчет!$D$6/BM17),0)=0,1,CEILING((Расчет!$D$6/BM17),1))</f>
        <v>2</v>
      </c>
      <c r="AD17" s="43">
        <f>IF(ROUND((Расчет!$E$6/'Лист 2'!AP17),0)=0,1,CEILING((Расчет!$E$6/'Лист 2'!AP17),1))*IF(ROUND((Расчет!$F$6/'Лист 2'!BB17),0)=0,1,CEILING((Расчет!$F$6/'Лист 2'!BB17),1))*IF(ROUND((Расчет!$D$6/BN17),0)=0,1,CEILING((Расчет!$D$6/BN17),1))</f>
        <v>3</v>
      </c>
      <c r="AE17" s="43">
        <f>IF(ROUND((Расчет!$E$6/'Лист 2'!AQ17),0)=0,1,CEILING((Расчет!$E$6/'Лист 2'!AQ17),1))*IF(ROUND((Расчет!$F$6/'Лист 2'!BC17),0)=0,1,CEILING((Расчет!$F$6/'Лист 2'!BC17),1))*IF(ROUND((Расчет!$D$6/BO17),0)=0,1,CEILING((Расчет!$D$6/BO17),1))</f>
        <v>5</v>
      </c>
      <c r="AF17" s="43">
        <f>IF(ROUND((Расчет!$E$6/'Лист 2'!AR17),0)=0,1,CEILING((Расчет!$E$6/'Лист 2'!AR17),1))*IF(ROUND((Расчет!$F$6/'Лист 2'!BD17),0)=0,1,CEILING((Расчет!$F$6/'Лист 2'!BD17),1))*IF(ROUND((Расчет!$D$6/BP17),0)=0,1,CEILING((Расчет!$D$6/BP17),1))</f>
        <v>8</v>
      </c>
      <c r="AG17" s="43">
        <f>IF(ROUND((Расчет!$E$6/'Лист 2'!AS17),0)=0,1,CEILING((Расчет!$E$6/'Лист 2'!AS17),1))*IF(ROUND((Расчет!$F$6/'Лист 2'!BE17),0)=0,1,CEILING((Расчет!$F$6/'Лист 2'!BE17),1))*IF(ROUND((Расчет!$D$6/BQ17),0)=0,1,CEILING((Расчет!$D$6/BQ17),1))</f>
        <v>12</v>
      </c>
      <c r="AH17" s="71">
        <f>IF(ROUND((Расчет!$E$6/'Лист 2'!AT17),0)=0,1,CEILING((Расчет!$E$6/'Лист 2'!AT17),1))*IF(ROUND((Расчет!$F$6/'Лист 2'!BF17),0)=0,1,CEILING((Расчет!$F$6/'Лист 2'!BF17),1))*IF(ROUND((Расчет!$D$6/BR17),0)=0,1,CEILING((Расчет!$D$6/BR17),1))</f>
        <v>16</v>
      </c>
      <c r="AI17" s="43">
        <f t="shared" si="41"/>
        <v>1.3</v>
      </c>
      <c r="AJ17" s="30">
        <f t="shared" si="41"/>
        <v>1.4</v>
      </c>
      <c r="AK17" s="30">
        <f t="shared" si="41"/>
        <v>1.6</v>
      </c>
      <c r="AL17" s="30">
        <f t="shared" si="41"/>
        <v>1.8</v>
      </c>
      <c r="AM17" s="30">
        <f t="shared" si="41"/>
        <v>1.9</v>
      </c>
      <c r="AN17" s="30">
        <f t="shared" si="41"/>
        <v>2.1</v>
      </c>
      <c r="AO17" s="30">
        <f t="shared" si="41"/>
        <v>2.2999999999999998</v>
      </c>
      <c r="AP17" s="30">
        <f t="shared" si="41"/>
        <v>2.4</v>
      </c>
      <c r="AQ17" s="30">
        <f t="shared" si="41"/>
        <v>3.3</v>
      </c>
      <c r="AR17" s="30">
        <f t="shared" si="41"/>
        <v>4.0999999999999996</v>
      </c>
      <c r="AS17" s="30">
        <f t="shared" si="41"/>
        <v>5</v>
      </c>
      <c r="AT17" s="47">
        <f t="shared" si="41"/>
        <v>5.8</v>
      </c>
      <c r="AU17" s="46">
        <f t="shared" si="42"/>
        <v>0.5</v>
      </c>
      <c r="AV17" s="30">
        <f t="shared" si="42"/>
        <v>0.7</v>
      </c>
      <c r="AW17" s="30">
        <f t="shared" si="42"/>
        <v>0.8</v>
      </c>
      <c r="AX17" s="30">
        <f t="shared" si="42"/>
        <v>1</v>
      </c>
      <c r="AY17" s="30">
        <f t="shared" si="42"/>
        <v>1.2</v>
      </c>
      <c r="AZ17" s="30">
        <f t="shared" si="42"/>
        <v>1.3</v>
      </c>
      <c r="BA17" s="30">
        <f t="shared" si="42"/>
        <v>1.5</v>
      </c>
      <c r="BB17" s="30">
        <f t="shared" si="42"/>
        <v>1.7</v>
      </c>
      <c r="BC17" s="30">
        <f t="shared" si="42"/>
        <v>2.5</v>
      </c>
      <c r="BD17" s="30">
        <f t="shared" si="42"/>
        <v>3.4</v>
      </c>
      <c r="BE17" s="30">
        <f t="shared" si="42"/>
        <v>4.2</v>
      </c>
      <c r="BF17" s="53">
        <f t="shared" si="42"/>
        <v>5</v>
      </c>
      <c r="BG17" s="46">
        <f t="shared" si="43"/>
        <v>203.53846153846155</v>
      </c>
      <c r="BH17" s="30">
        <f t="shared" si="44"/>
        <v>135.00000000000003</v>
      </c>
      <c r="BI17" s="30">
        <f t="shared" si="45"/>
        <v>103.35937499999999</v>
      </c>
      <c r="BJ17" s="30">
        <f t="shared" si="46"/>
        <v>73.5</v>
      </c>
      <c r="BK17" s="30">
        <f t="shared" si="47"/>
        <v>58.026315789473692</v>
      </c>
      <c r="BL17" s="30">
        <f t="shared" si="48"/>
        <v>48.46153846153846</v>
      </c>
      <c r="BM17" s="30">
        <f t="shared" si="49"/>
        <v>38.34782608695653</v>
      </c>
      <c r="BN17" s="30">
        <f t="shared" si="50"/>
        <v>32.426470588235297</v>
      </c>
      <c r="BO17" s="30">
        <f t="shared" si="51"/>
        <v>16.036363636363639</v>
      </c>
      <c r="BP17" s="30">
        <f t="shared" si="52"/>
        <v>9.4906743185078941</v>
      </c>
      <c r="BQ17" s="30">
        <f t="shared" si="53"/>
        <v>6.3000000000000007</v>
      </c>
      <c r="BR17" s="47">
        <f t="shared" si="54"/>
        <v>4.5620689655172422</v>
      </c>
      <c r="BS17" s="43">
        <v>1.1000000000000001</v>
      </c>
      <c r="BT17" s="164">
        <v>7249</v>
      </c>
    </row>
    <row r="18" spans="1:72" ht="15" hidden="1" customHeight="1" x14ac:dyDescent="0.25">
      <c r="A18" s="246"/>
      <c r="B18" s="32" t="s">
        <v>85</v>
      </c>
      <c r="C18" s="33">
        <v>64</v>
      </c>
      <c r="D18" s="33">
        <v>158.9</v>
      </c>
      <c r="E18" s="33" t="s">
        <v>80</v>
      </c>
      <c r="F18" s="41" t="s">
        <v>41</v>
      </c>
      <c r="G18" s="48">
        <v>0.91</v>
      </c>
      <c r="H18" s="30">
        <v>0.05</v>
      </c>
      <c r="I18" s="47">
        <v>7.0000000000000007E-2</v>
      </c>
      <c r="J18" s="46">
        <f t="shared" si="27"/>
        <v>16698</v>
      </c>
      <c r="K18" s="43">
        <f t="shared" si="28"/>
        <v>16698</v>
      </c>
      <c r="L18" s="43">
        <f t="shared" si="29"/>
        <v>16698</v>
      </c>
      <c r="M18" s="43">
        <f t="shared" si="30"/>
        <v>16698</v>
      </c>
      <c r="N18" s="43">
        <f t="shared" si="31"/>
        <v>16698</v>
      </c>
      <c r="O18" s="43">
        <f t="shared" si="32"/>
        <v>16698</v>
      </c>
      <c r="P18" s="43">
        <f t="shared" si="33"/>
        <v>16698</v>
      </c>
      <c r="Q18" s="43">
        <f t="shared" si="34"/>
        <v>16698</v>
      </c>
      <c r="R18" s="43">
        <f t="shared" si="35"/>
        <v>33396</v>
      </c>
      <c r="S18" s="43">
        <f t="shared" si="36"/>
        <v>58443</v>
      </c>
      <c r="T18" s="43">
        <f t="shared" si="37"/>
        <v>83490</v>
      </c>
      <c r="U18" s="71">
        <f t="shared" si="38"/>
        <v>108537</v>
      </c>
      <c r="V18" s="68">
        <f t="shared" si="39"/>
        <v>16698</v>
      </c>
      <c r="W18" s="46">
        <f>IF(ROUND((Расчет!$E$6/'Лист 2'!AI18),0)=0,1,CEILING((Расчет!$E$6/'Лист 2'!AI18),1))*IF(ROUND((Расчет!$F$6/'Лист 2'!AU18),0)=0,1,CEILING((Расчет!$F$6/'Лист 2'!AU18),1))*IF(ROUND((Расчет!$D$6/BG18),0)=0,1,CEILING((Расчет!$D$6/BG18),1))</f>
        <v>2</v>
      </c>
      <c r="X18" s="43">
        <f>IF(ROUND((Расчет!$E$6/'Лист 2'!AJ18),0)=0,1,CEILING((Расчет!$E$6/'Лист 2'!AJ18),1))*IF(ROUND((Расчет!$F$6/'Лист 2'!AV18),0)=0,1,CEILING((Расчет!$F$6/'Лист 2'!AV18),1))*IF(ROUND((Расчет!$D$6/BH18),0)=0,1,CEILING((Расчет!$D$6/BH18),1))</f>
        <v>2</v>
      </c>
      <c r="Y18" s="43">
        <f>IF(ROUND((Расчет!$E$6/'Лист 2'!AK18),0)=0,1,CEILING((Расчет!$E$6/'Лист 2'!AK18),1))*IF(ROUND((Расчет!$F$6/'Лист 2'!AW18),0)=0,1,CEILING((Расчет!$F$6/'Лист 2'!AW18),1))*IF(ROUND((Расчет!$D$6/BI18),0)=0,1,CEILING((Расчет!$D$6/BI18),1))</f>
        <v>2</v>
      </c>
      <c r="Z18" s="43">
        <f>IF(ROUND((Расчет!$E$6/'Лист 2'!AL18),0)=0,1,CEILING((Расчет!$E$6/'Лист 2'!AL18),1))*IF(ROUND((Расчет!$F$6/'Лист 2'!AX18),0)=0,1,CEILING((Расчет!$F$6/'Лист 2'!AX18),1))*IF(ROUND((Расчет!$D$6/BJ18),0)=0,1,CEILING((Расчет!$D$6/BJ18),1))</f>
        <v>2</v>
      </c>
      <c r="AA18" s="43">
        <f>IF(ROUND((Расчет!$E$6/'Лист 2'!AM18),0)=0,1,CEILING((Расчет!$E$6/'Лист 2'!AM18),1))*IF(ROUND((Расчет!$F$6/'Лист 2'!AY18),0)=0,1,CEILING((Расчет!$F$6/'Лист 2'!AY18),1))*IF(ROUND((Расчет!$D$6/BK18),0)=0,1,CEILING((Расчет!$D$6/BK18),1))</f>
        <v>2</v>
      </c>
      <c r="AB18" s="43">
        <f>IF(ROUND((Расчет!$E$6/'Лист 2'!AN18),0)=0,1,CEILING((Расчет!$E$6/'Лист 2'!AN18),1))*IF(ROUND((Расчет!$F$6/'Лист 2'!AZ18),0)=0,1,CEILING((Расчет!$F$6/'Лист 2'!AZ18),1))*IF(ROUND((Расчет!$D$6/BL18),0)=0,1,CEILING((Расчет!$D$6/BL18),1))</f>
        <v>2</v>
      </c>
      <c r="AC18" s="43">
        <f>IF(ROUND((Расчет!$E$6/'Лист 2'!AO18),0)=0,1,CEILING((Расчет!$E$6/'Лист 2'!AO18),1))*IF(ROUND((Расчет!$F$6/'Лист 2'!BA18),0)=0,1,CEILING((Расчет!$F$6/'Лист 2'!BA18),1))*IF(ROUND((Расчет!$D$6/BM18),0)=0,1,CEILING((Расчет!$D$6/BM18),1))</f>
        <v>2</v>
      </c>
      <c r="AD18" s="43">
        <f>IF(ROUND((Расчет!$E$6/'Лист 2'!AP18),0)=0,1,CEILING((Расчет!$E$6/'Лист 2'!AP18),1))*IF(ROUND((Расчет!$F$6/'Лист 2'!BB18),0)=0,1,CEILING((Расчет!$F$6/'Лист 2'!BB18),1))*IF(ROUND((Расчет!$D$6/BN18),0)=0,1,CEILING((Расчет!$D$6/BN18),1))</f>
        <v>2</v>
      </c>
      <c r="AE18" s="43">
        <f>IF(ROUND((Расчет!$E$6/'Лист 2'!AQ18),0)=0,1,CEILING((Расчет!$E$6/'Лист 2'!AQ18),1))*IF(ROUND((Расчет!$F$6/'Лист 2'!BC18),0)=0,1,CEILING((Расчет!$F$6/'Лист 2'!BC18),1))*IF(ROUND((Расчет!$D$6/BO18),0)=0,1,CEILING((Расчет!$D$6/BO18),1))</f>
        <v>4</v>
      </c>
      <c r="AF18" s="43">
        <f>IF(ROUND((Расчет!$E$6/'Лист 2'!AR18),0)=0,1,CEILING((Расчет!$E$6/'Лист 2'!AR18),1))*IF(ROUND((Расчет!$F$6/'Лист 2'!BD18),0)=0,1,CEILING((Расчет!$F$6/'Лист 2'!BD18),1))*IF(ROUND((Расчет!$D$6/BP18),0)=0,1,CEILING((Расчет!$D$6/BP18),1))</f>
        <v>7</v>
      </c>
      <c r="AG18" s="43">
        <f>IF(ROUND((Расчет!$E$6/'Лист 2'!AS18),0)=0,1,CEILING((Расчет!$E$6/'Лист 2'!AS18),1))*IF(ROUND((Расчет!$F$6/'Лист 2'!BE18),0)=0,1,CEILING((Расчет!$F$6/'Лист 2'!BE18),1))*IF(ROUND((Расчет!$D$6/BQ18),0)=0,1,CEILING((Расчет!$D$6/BQ18),1))</f>
        <v>10</v>
      </c>
      <c r="AH18" s="71">
        <f>IF(ROUND((Расчет!$E$6/'Лист 2'!AT18),0)=0,1,CEILING((Расчет!$E$6/'Лист 2'!AT18),1))*IF(ROUND((Расчет!$F$6/'Лист 2'!BF18),0)=0,1,CEILING((Расчет!$F$6/'Лист 2'!BF18),1))*IF(ROUND((Расчет!$D$6/BR18),0)=0,1,CEILING((Расчет!$D$6/BR18),1))</f>
        <v>13</v>
      </c>
      <c r="AI18" s="43">
        <f t="shared" si="41"/>
        <v>1.4</v>
      </c>
      <c r="AJ18" s="30">
        <f t="shared" si="41"/>
        <v>1.6</v>
      </c>
      <c r="AK18" s="30">
        <f t="shared" si="41"/>
        <v>1.7</v>
      </c>
      <c r="AL18" s="30">
        <f t="shared" si="41"/>
        <v>1.9</v>
      </c>
      <c r="AM18" s="30">
        <f t="shared" si="41"/>
        <v>2.1</v>
      </c>
      <c r="AN18" s="30">
        <f t="shared" si="41"/>
        <v>2.2999999999999998</v>
      </c>
      <c r="AO18" s="30">
        <f t="shared" si="41"/>
        <v>2.4</v>
      </c>
      <c r="AP18" s="30">
        <f t="shared" si="41"/>
        <v>2.6</v>
      </c>
      <c r="AQ18" s="30">
        <f t="shared" si="41"/>
        <v>3.4</v>
      </c>
      <c r="AR18" s="30">
        <f t="shared" si="41"/>
        <v>4.3</v>
      </c>
      <c r="AS18" s="30">
        <f t="shared" si="41"/>
        <v>5.0999999999999996</v>
      </c>
      <c r="AT18" s="47">
        <f t="shared" si="41"/>
        <v>5.9</v>
      </c>
      <c r="AU18" s="46">
        <f t="shared" si="42"/>
        <v>0.5</v>
      </c>
      <c r="AV18" s="30">
        <f t="shared" si="42"/>
        <v>0.7</v>
      </c>
      <c r="AW18" s="30">
        <f t="shared" si="42"/>
        <v>0.8</v>
      </c>
      <c r="AX18" s="30">
        <f t="shared" si="42"/>
        <v>1</v>
      </c>
      <c r="AY18" s="30">
        <f t="shared" si="42"/>
        <v>1.2</v>
      </c>
      <c r="AZ18" s="30">
        <f t="shared" si="42"/>
        <v>1.3</v>
      </c>
      <c r="BA18" s="30">
        <f t="shared" si="42"/>
        <v>1.5</v>
      </c>
      <c r="BB18" s="30">
        <f t="shared" si="42"/>
        <v>1.7</v>
      </c>
      <c r="BC18" s="30">
        <f t="shared" si="42"/>
        <v>2.5</v>
      </c>
      <c r="BD18" s="30">
        <f t="shared" si="42"/>
        <v>3.4</v>
      </c>
      <c r="BE18" s="30">
        <f t="shared" si="42"/>
        <v>4.2</v>
      </c>
      <c r="BF18" s="53">
        <f t="shared" si="42"/>
        <v>5</v>
      </c>
      <c r="BG18" s="46">
        <f t="shared" si="43"/>
        <v>227.00000000000003</v>
      </c>
      <c r="BH18" s="30">
        <f t="shared" si="44"/>
        <v>141.87500000000003</v>
      </c>
      <c r="BI18" s="30">
        <f t="shared" si="45"/>
        <v>116.83823529411764</v>
      </c>
      <c r="BJ18" s="30">
        <f t="shared" si="46"/>
        <v>83.631578947368425</v>
      </c>
      <c r="BK18" s="30">
        <f t="shared" si="47"/>
        <v>63.055555555555557</v>
      </c>
      <c r="BL18" s="30">
        <f t="shared" si="48"/>
        <v>53.143812709030108</v>
      </c>
      <c r="BM18" s="30">
        <f t="shared" si="49"/>
        <v>44.138888888888893</v>
      </c>
      <c r="BN18" s="30">
        <f t="shared" si="50"/>
        <v>35.950226244343895</v>
      </c>
      <c r="BO18" s="30">
        <f t="shared" si="51"/>
        <v>18.694117647058825</v>
      </c>
      <c r="BP18" s="30">
        <f t="shared" si="52"/>
        <v>10.868673050615596</v>
      </c>
      <c r="BQ18" s="30">
        <f t="shared" si="53"/>
        <v>7.4183006535947724</v>
      </c>
      <c r="BR18" s="47">
        <f t="shared" si="54"/>
        <v>5.3864406779661023</v>
      </c>
      <c r="BS18" s="54">
        <v>1.3</v>
      </c>
      <c r="BT18" s="165">
        <v>8349</v>
      </c>
    </row>
    <row r="19" spans="1:72" ht="15" hidden="1" customHeight="1" thickBot="1" x14ac:dyDescent="0.3">
      <c r="A19" s="246"/>
      <c r="B19" s="29" t="s">
        <v>86</v>
      </c>
      <c r="C19" s="30">
        <v>96</v>
      </c>
      <c r="D19" s="30">
        <v>211.7</v>
      </c>
      <c r="E19" s="30" t="s">
        <v>82</v>
      </c>
      <c r="F19" s="41" t="s">
        <v>43</v>
      </c>
      <c r="G19" s="46">
        <v>1.3</v>
      </c>
      <c r="H19" s="30">
        <v>0.05</v>
      </c>
      <c r="I19" s="47">
        <v>7.0000000000000007E-2</v>
      </c>
      <c r="J19" s="46">
        <f t="shared" si="27"/>
        <v>23518</v>
      </c>
      <c r="K19" s="43">
        <f t="shared" si="28"/>
        <v>11759</v>
      </c>
      <c r="L19" s="43">
        <f t="shared" si="29"/>
        <v>11759</v>
      </c>
      <c r="M19" s="43">
        <f t="shared" si="30"/>
        <v>11759</v>
      </c>
      <c r="N19" s="43">
        <f t="shared" si="31"/>
        <v>11759</v>
      </c>
      <c r="O19" s="43">
        <f t="shared" si="32"/>
        <v>23518</v>
      </c>
      <c r="P19" s="43">
        <f t="shared" si="33"/>
        <v>23518</v>
      </c>
      <c r="Q19" s="43">
        <f t="shared" si="34"/>
        <v>23518</v>
      </c>
      <c r="R19" s="43">
        <f t="shared" si="35"/>
        <v>47036</v>
      </c>
      <c r="S19" s="43">
        <f t="shared" si="36"/>
        <v>70554</v>
      </c>
      <c r="T19" s="43">
        <f t="shared" si="37"/>
        <v>94072</v>
      </c>
      <c r="U19" s="71">
        <f t="shared" si="38"/>
        <v>129349</v>
      </c>
      <c r="V19" s="69">
        <f t="shared" si="39"/>
        <v>11759</v>
      </c>
      <c r="W19" s="46">
        <f>IF(ROUND((Расчет!$E$6/'Лист 2'!AI19),0)=0,1,CEILING((Расчет!$E$6/'Лист 2'!AI19),1))*IF(ROUND((Расчет!$F$6/'Лист 2'!AU19),0)=0,1,CEILING((Расчет!$F$6/'Лист 2'!AU19),1))*IF(ROUND((Расчет!$D$6/BG19),0)=0,1,CEILING((Расчет!$D$6/BG19),1))</f>
        <v>2</v>
      </c>
      <c r="X19" s="43">
        <f>IF(ROUND((Расчет!$E$6/'Лист 2'!AJ19),0)=0,1,CEILING((Расчет!$E$6/'Лист 2'!AJ19),1))*IF(ROUND((Расчет!$F$6/'Лист 2'!AV19),0)=0,1,CEILING((Расчет!$F$6/'Лист 2'!AV19),1))*IF(ROUND((Расчет!$D$6/BH19),0)=0,1,CEILING((Расчет!$D$6/BH19),1))</f>
        <v>1</v>
      </c>
      <c r="Y19" s="43">
        <f>IF(ROUND((Расчет!$E$6/'Лист 2'!AK19),0)=0,1,CEILING((Расчет!$E$6/'Лист 2'!AK19),1))*IF(ROUND((Расчет!$F$6/'Лист 2'!AW19),0)=0,1,CEILING((Расчет!$F$6/'Лист 2'!AW19),1))*IF(ROUND((Расчет!$D$6/BI19),0)=0,1,CEILING((Расчет!$D$6/BI19),1))</f>
        <v>1</v>
      </c>
      <c r="Z19" s="43">
        <f>IF(ROUND((Расчет!$E$6/'Лист 2'!AL19),0)=0,1,CEILING((Расчет!$E$6/'Лист 2'!AL19),1))*IF(ROUND((Расчет!$F$6/'Лист 2'!AX19),0)=0,1,CEILING((Расчет!$F$6/'Лист 2'!AX19),1))*IF(ROUND((Расчет!$D$6/BJ19),0)=0,1,CEILING((Расчет!$D$6/BJ19),1))</f>
        <v>1</v>
      </c>
      <c r="AA19" s="43">
        <f>IF(ROUND((Расчет!$E$6/'Лист 2'!AM19),0)=0,1,CEILING((Расчет!$E$6/'Лист 2'!AM19),1))*IF(ROUND((Расчет!$F$6/'Лист 2'!AY19),0)=0,1,CEILING((Расчет!$F$6/'Лист 2'!AY19),1))*IF(ROUND((Расчет!$D$6/BK19),0)=0,1,CEILING((Расчет!$D$6/BK19),1))</f>
        <v>1</v>
      </c>
      <c r="AB19" s="43">
        <f>IF(ROUND((Расчет!$E$6/'Лист 2'!AN19),0)=0,1,CEILING((Расчет!$E$6/'Лист 2'!AN19),1))*IF(ROUND((Расчет!$F$6/'Лист 2'!AZ19),0)=0,1,CEILING((Расчет!$F$6/'Лист 2'!AZ19),1))*IF(ROUND((Расчет!$D$6/BL19),0)=0,1,CEILING((Расчет!$D$6/BL19),1))</f>
        <v>2</v>
      </c>
      <c r="AC19" s="43">
        <f>IF(ROUND((Расчет!$E$6/'Лист 2'!AO19),0)=0,1,CEILING((Расчет!$E$6/'Лист 2'!AO19),1))*IF(ROUND((Расчет!$F$6/'Лист 2'!BA19),0)=0,1,CEILING((Расчет!$F$6/'Лист 2'!BA19),1))*IF(ROUND((Расчет!$D$6/BM19),0)=0,1,CEILING((Расчет!$D$6/BM19),1))</f>
        <v>2</v>
      </c>
      <c r="AD19" s="43">
        <f>IF(ROUND((Расчет!$E$6/'Лист 2'!AP19),0)=0,1,CEILING((Расчет!$E$6/'Лист 2'!AP19),1))*IF(ROUND((Расчет!$F$6/'Лист 2'!BB19),0)=0,1,CEILING((Расчет!$F$6/'Лист 2'!BB19),1))*IF(ROUND((Расчет!$D$6/BN19),0)=0,1,CEILING((Расчет!$D$6/BN19),1))</f>
        <v>2</v>
      </c>
      <c r="AE19" s="43">
        <f>IF(ROUND((Расчет!$E$6/'Лист 2'!AQ19),0)=0,1,CEILING((Расчет!$E$6/'Лист 2'!AQ19),1))*IF(ROUND((Расчет!$F$6/'Лист 2'!BC19),0)=0,1,CEILING((Расчет!$F$6/'Лист 2'!BC19),1))*IF(ROUND((Расчет!$D$6/BO19),0)=0,1,CEILING((Расчет!$D$6/BO19),1))</f>
        <v>4</v>
      </c>
      <c r="AF19" s="43">
        <f>IF(ROUND((Расчет!$E$6/'Лист 2'!AR19),0)=0,1,CEILING((Расчет!$E$6/'Лист 2'!AR19),1))*IF(ROUND((Расчет!$F$6/'Лист 2'!BD19),0)=0,1,CEILING((Расчет!$F$6/'Лист 2'!BD19),1))*IF(ROUND((Расчет!$D$6/BP19),0)=0,1,CEILING((Расчет!$D$6/BP19),1))</f>
        <v>6</v>
      </c>
      <c r="AG19" s="43">
        <f>IF(ROUND((Расчет!$E$6/'Лист 2'!AS19),0)=0,1,CEILING((Расчет!$E$6/'Лист 2'!AS19),1))*IF(ROUND((Расчет!$F$6/'Лист 2'!BE19),0)=0,1,CEILING((Расчет!$F$6/'Лист 2'!BE19),1))*IF(ROUND((Расчет!$D$6/BQ19),0)=0,1,CEILING((Расчет!$D$6/BQ19),1))</f>
        <v>8</v>
      </c>
      <c r="AH19" s="71">
        <f>IF(ROUND((Расчет!$E$6/'Лист 2'!AT19),0)=0,1,CEILING((Расчет!$E$6/'Лист 2'!AT19),1))*IF(ROUND((Расчет!$F$6/'Лист 2'!BF19),0)=0,1,CEILING((Расчет!$F$6/'Лист 2'!BF19),1))*IF(ROUND((Расчет!$D$6/BR19),0)=0,1,CEILING((Расчет!$D$6/BR19),1))</f>
        <v>11</v>
      </c>
      <c r="AI19" s="43">
        <f t="shared" si="41"/>
        <v>1.8</v>
      </c>
      <c r="AJ19" s="30">
        <f t="shared" si="41"/>
        <v>2</v>
      </c>
      <c r="AK19" s="30">
        <f t="shared" si="41"/>
        <v>2.1</v>
      </c>
      <c r="AL19" s="30">
        <f t="shared" si="41"/>
        <v>2.2999999999999998</v>
      </c>
      <c r="AM19" s="30">
        <f t="shared" si="41"/>
        <v>2.5</v>
      </c>
      <c r="AN19" s="30">
        <f t="shared" si="41"/>
        <v>2.6</v>
      </c>
      <c r="AO19" s="30">
        <f t="shared" si="41"/>
        <v>2.8</v>
      </c>
      <c r="AP19" s="30">
        <f t="shared" si="41"/>
        <v>3</v>
      </c>
      <c r="AQ19" s="30">
        <f t="shared" si="41"/>
        <v>3.8</v>
      </c>
      <c r="AR19" s="30">
        <f t="shared" si="41"/>
        <v>4.7</v>
      </c>
      <c r="AS19" s="30">
        <f t="shared" si="41"/>
        <v>5.5</v>
      </c>
      <c r="AT19" s="47">
        <f t="shared" si="41"/>
        <v>6.3</v>
      </c>
      <c r="AU19" s="46">
        <f t="shared" si="42"/>
        <v>0.5</v>
      </c>
      <c r="AV19" s="30">
        <f t="shared" si="42"/>
        <v>0.7</v>
      </c>
      <c r="AW19" s="30">
        <f t="shared" si="42"/>
        <v>0.8</v>
      </c>
      <c r="AX19" s="30">
        <f t="shared" si="42"/>
        <v>1</v>
      </c>
      <c r="AY19" s="30">
        <f t="shared" si="42"/>
        <v>1.2</v>
      </c>
      <c r="AZ19" s="30">
        <f t="shared" si="42"/>
        <v>1.3</v>
      </c>
      <c r="BA19" s="30">
        <f t="shared" si="42"/>
        <v>1.5</v>
      </c>
      <c r="BB19" s="30">
        <f t="shared" si="42"/>
        <v>1.7</v>
      </c>
      <c r="BC19" s="30">
        <f t="shared" si="42"/>
        <v>2.5</v>
      </c>
      <c r="BD19" s="30">
        <f t="shared" si="42"/>
        <v>3.4</v>
      </c>
      <c r="BE19" s="30">
        <f t="shared" si="42"/>
        <v>4.2</v>
      </c>
      <c r="BF19" s="53">
        <f t="shared" si="42"/>
        <v>5</v>
      </c>
      <c r="BG19" s="46">
        <f t="shared" si="43"/>
        <v>235.2222222222222</v>
      </c>
      <c r="BH19" s="30">
        <f t="shared" si="44"/>
        <v>151.21428571428572</v>
      </c>
      <c r="BI19" s="30">
        <f t="shared" si="45"/>
        <v>126.01190476190474</v>
      </c>
      <c r="BJ19" s="30">
        <f t="shared" si="46"/>
        <v>92.043478260869563</v>
      </c>
      <c r="BK19" s="30">
        <f t="shared" si="47"/>
        <v>70.566666666666663</v>
      </c>
      <c r="BL19" s="30">
        <f t="shared" si="48"/>
        <v>62.633136094674548</v>
      </c>
      <c r="BM19" s="30">
        <f t="shared" si="49"/>
        <v>50.404761904761912</v>
      </c>
      <c r="BN19" s="30">
        <f t="shared" si="50"/>
        <v>41.509803921568626</v>
      </c>
      <c r="BO19" s="30">
        <f t="shared" si="51"/>
        <v>22.284210526315789</v>
      </c>
      <c r="BP19" s="30">
        <f t="shared" si="52"/>
        <v>13.247809762202753</v>
      </c>
      <c r="BQ19" s="30">
        <f t="shared" si="53"/>
        <v>9.1645021645021636</v>
      </c>
      <c r="BR19" s="47">
        <f t="shared" si="54"/>
        <v>6.7206349206349199</v>
      </c>
      <c r="BS19" s="43">
        <v>1.8</v>
      </c>
      <c r="BT19" s="164">
        <v>11759</v>
      </c>
    </row>
    <row r="20" spans="1:72" ht="15.75" hidden="1" thickBot="1" x14ac:dyDescent="0.3">
      <c r="B20" s="21"/>
      <c r="C20" s="21"/>
      <c r="D20" s="21"/>
      <c r="E20" s="21"/>
      <c r="F20" s="42"/>
      <c r="G20" s="49"/>
      <c r="H20" s="30"/>
      <c r="I20" s="47"/>
      <c r="J20" s="79">
        <f>MIN(J14:J19)</f>
        <v>8350</v>
      </c>
      <c r="K20" s="79">
        <f t="shared" ref="K20:U20" si="80">MIN(K14:K19)</f>
        <v>9878</v>
      </c>
      <c r="L20" s="79">
        <f t="shared" si="80"/>
        <v>9878</v>
      </c>
      <c r="M20" s="79">
        <f t="shared" si="80"/>
        <v>11759</v>
      </c>
      <c r="N20" s="79">
        <f t="shared" si="80"/>
        <v>11759</v>
      </c>
      <c r="O20" s="79">
        <f t="shared" si="80"/>
        <v>12078</v>
      </c>
      <c r="P20" s="79">
        <f t="shared" si="80"/>
        <v>14498</v>
      </c>
      <c r="Q20" s="79">
        <f t="shared" si="80"/>
        <v>16698</v>
      </c>
      <c r="R20" s="79">
        <f t="shared" si="80"/>
        <v>33396</v>
      </c>
      <c r="S20" s="79">
        <f t="shared" si="80"/>
        <v>54351</v>
      </c>
      <c r="T20" s="79">
        <f t="shared" si="80"/>
        <v>83490</v>
      </c>
      <c r="U20" s="79">
        <f t="shared" si="80"/>
        <v>108537</v>
      </c>
      <c r="V20" s="70"/>
      <c r="W20" s="46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71"/>
      <c r="AI20" s="43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47"/>
      <c r="AU20" s="46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53"/>
      <c r="BG20" s="46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47"/>
      <c r="BS20" s="55"/>
      <c r="BT20" s="166"/>
    </row>
    <row r="21" spans="1:72" hidden="1" x14ac:dyDescent="0.25">
      <c r="A21" s="246" t="s">
        <v>88</v>
      </c>
      <c r="B21" s="32" t="s">
        <v>34</v>
      </c>
      <c r="C21" s="33">
        <v>48</v>
      </c>
      <c r="D21" s="33">
        <v>106.1</v>
      </c>
      <c r="E21" s="33" t="s">
        <v>31</v>
      </c>
      <c r="F21" s="41" t="s">
        <v>35</v>
      </c>
      <c r="G21" s="48">
        <v>0.63</v>
      </c>
      <c r="H21" s="30">
        <v>0.05</v>
      </c>
      <c r="I21" s="47">
        <v>7.0000000000000007E-2</v>
      </c>
      <c r="J21" s="46">
        <f t="shared" si="27"/>
        <v>12078</v>
      </c>
      <c r="K21" s="43">
        <f t="shared" si="28"/>
        <v>12078</v>
      </c>
      <c r="L21" s="43">
        <f t="shared" si="29"/>
        <v>12078</v>
      </c>
      <c r="M21" s="43">
        <f t="shared" si="30"/>
        <v>24156</v>
      </c>
      <c r="N21" s="43">
        <f t="shared" si="31"/>
        <v>24156</v>
      </c>
      <c r="O21" s="43">
        <f t="shared" si="32"/>
        <v>12078</v>
      </c>
      <c r="P21" s="43">
        <f t="shared" si="33"/>
        <v>18117</v>
      </c>
      <c r="Q21" s="43">
        <f t="shared" si="34"/>
        <v>18117</v>
      </c>
      <c r="R21" s="43">
        <f t="shared" si="35"/>
        <v>36234</v>
      </c>
      <c r="S21" s="43">
        <f t="shared" si="36"/>
        <v>54351</v>
      </c>
      <c r="T21" s="43">
        <f t="shared" si="37"/>
        <v>84546</v>
      </c>
      <c r="U21" s="71">
        <f t="shared" si="38"/>
        <v>114741</v>
      </c>
      <c r="V21" s="68">
        <f t="shared" si="39"/>
        <v>12078</v>
      </c>
      <c r="W21" s="46">
        <f>IF(ROUND((Расчет!$E$6/'Лист 2'!AI21),0)=0,1,CEILING((Расчет!$E$6/'Лист 2'!AI21),1))*IF(ROUND((Расчет!$F$6/'Лист 2'!AU21),0)=0,1,CEILING((Расчет!$F$6/'Лист 2'!AU21),1))*IF(ROUND((Расчет!$D$6/BG21),0)=0,1,CEILING((Расчет!$D$6/BG21),1))</f>
        <v>2</v>
      </c>
      <c r="X21" s="43">
        <f>IF(ROUND((Расчет!$E$6/'Лист 2'!AJ21),0)=0,1,CEILING((Расчет!$E$6/'Лист 2'!AJ21),1))*IF(ROUND((Расчет!$F$6/'Лист 2'!AV21),0)=0,1,CEILING((Расчет!$F$6/'Лист 2'!AV21),1))*IF(ROUND((Расчет!$D$6/BH21),0)=0,1,CEILING((Расчет!$D$6/BH21),1))</f>
        <v>2</v>
      </c>
      <c r="Y21" s="43">
        <f>IF(ROUND((Расчет!$E$6/'Лист 2'!AK21),0)=0,1,CEILING((Расчет!$E$6/'Лист 2'!AK21),1))*IF(ROUND((Расчет!$F$6/'Лист 2'!AW21),0)=0,1,CEILING((Расчет!$F$6/'Лист 2'!AW21),1))*IF(ROUND((Расчет!$D$6/BI21),0)=0,1,CEILING((Расчет!$D$6/BI21),1))</f>
        <v>2</v>
      </c>
      <c r="Z21" s="43">
        <f>IF(ROUND((Расчет!$E$6/'Лист 2'!AL21),0)=0,1,CEILING((Расчет!$E$6/'Лист 2'!AL21),1))*IF(ROUND((Расчет!$F$6/'Лист 2'!AX21),0)=0,1,CEILING((Расчет!$F$6/'Лист 2'!AX21),1))*IF(ROUND((Расчет!$D$6/BJ21),0)=0,1,CEILING((Расчет!$D$6/BJ21),1))</f>
        <v>4</v>
      </c>
      <c r="AA21" s="43">
        <f>IF(ROUND((Расчет!$E$6/'Лист 2'!AM21),0)=0,1,CEILING((Расчет!$E$6/'Лист 2'!AM21),1))*IF(ROUND((Расчет!$F$6/'Лист 2'!AY21),0)=0,1,CEILING((Расчет!$F$6/'Лист 2'!AY21),1))*IF(ROUND((Расчет!$D$6/BK21),0)=0,1,CEILING((Расчет!$D$6/BK21),1))</f>
        <v>4</v>
      </c>
      <c r="AB21" s="43">
        <f>IF(ROUND((Расчет!$E$6/'Лист 2'!AN21),0)=0,1,CEILING((Расчет!$E$6/'Лист 2'!AN21),1))*IF(ROUND((Расчет!$F$6/'Лист 2'!AZ21),0)=0,1,CEILING((Расчет!$F$6/'Лист 2'!AZ21),1))*IF(ROUND((Расчет!$D$6/BL21),0)=0,1,CEILING((Расчет!$D$6/BL21),1))</f>
        <v>2</v>
      </c>
      <c r="AC21" s="43">
        <f>IF(ROUND((Расчет!$E$6/'Лист 2'!AO21),0)=0,1,CEILING((Расчет!$E$6/'Лист 2'!AO21),1))*IF(ROUND((Расчет!$F$6/'Лист 2'!BA21),0)=0,1,CEILING((Расчет!$F$6/'Лист 2'!BA21),1))*IF(ROUND((Расчет!$D$6/BM21),0)=0,1,CEILING((Расчет!$D$6/BM21),1))</f>
        <v>3</v>
      </c>
      <c r="AD21" s="43">
        <f>IF(ROUND((Расчет!$E$6/'Лист 2'!AP21),0)=0,1,CEILING((Расчет!$E$6/'Лист 2'!AP21),1))*IF(ROUND((Расчет!$F$6/'Лист 2'!BB21),0)=0,1,CEILING((Расчет!$F$6/'Лист 2'!BB21),1))*IF(ROUND((Расчет!$D$6/BN21),0)=0,1,CEILING((Расчет!$D$6/BN21),1))</f>
        <v>3</v>
      </c>
      <c r="AE21" s="43">
        <f>IF(ROUND((Расчет!$E$6/'Лист 2'!AQ21),0)=0,1,CEILING((Расчет!$E$6/'Лист 2'!AQ21),1))*IF(ROUND((Расчет!$F$6/'Лист 2'!BC21),0)=0,1,CEILING((Расчет!$F$6/'Лист 2'!BC21),1))*IF(ROUND((Расчет!$D$6/BO21),0)=0,1,CEILING((Расчет!$D$6/BO21),1))</f>
        <v>6</v>
      </c>
      <c r="AF21" s="43">
        <f>IF(ROUND((Расчет!$E$6/'Лист 2'!AR21),0)=0,1,CEILING((Расчет!$E$6/'Лист 2'!AR21),1))*IF(ROUND((Расчет!$F$6/'Лист 2'!BD21),0)=0,1,CEILING((Расчет!$F$6/'Лист 2'!BD21),1))*IF(ROUND((Расчет!$D$6/BP21),0)=0,1,CEILING((Расчет!$D$6/BP21),1))</f>
        <v>9</v>
      </c>
      <c r="AG21" s="43">
        <f>IF(ROUND((Расчет!$E$6/'Лист 2'!AS21),0)=0,1,CEILING((Расчет!$E$6/'Лист 2'!AS21),1))*IF(ROUND((Расчет!$F$6/'Лист 2'!BE21),0)=0,1,CEILING((Расчет!$F$6/'Лист 2'!BE21),1))*IF(ROUND((Расчет!$D$6/BQ21),0)=0,1,CEILING((Расчет!$D$6/BQ21),1))</f>
        <v>14</v>
      </c>
      <c r="AH21" s="71">
        <f>IF(ROUND((Расчет!$E$6/'Лист 2'!AT21),0)=0,1,CEILING((Расчет!$E$6/'Лист 2'!AT21),1))*IF(ROUND((Расчет!$F$6/'Лист 2'!BF21),0)=0,1,CEILING((Расчет!$F$6/'Лист 2'!BF21),1))*IF(ROUND((Расчет!$D$6/BR21),0)=0,1,CEILING((Расчет!$D$6/BR21),1))</f>
        <v>19</v>
      </c>
      <c r="AI21" s="43">
        <f t="shared" ref="AI21:AT24" si="81">ROUND(((AI$5*TAN(3.14*2*$C$35/720))*2+$G21),1)</f>
        <v>1.1000000000000001</v>
      </c>
      <c r="AJ21" s="30">
        <f t="shared" si="81"/>
        <v>1.3</v>
      </c>
      <c r="AK21" s="30">
        <f t="shared" si="81"/>
        <v>1.5</v>
      </c>
      <c r="AL21" s="30">
        <f t="shared" si="81"/>
        <v>1.6</v>
      </c>
      <c r="AM21" s="30">
        <f t="shared" si="81"/>
        <v>1.8</v>
      </c>
      <c r="AN21" s="30">
        <f t="shared" si="81"/>
        <v>2</v>
      </c>
      <c r="AO21" s="30">
        <f t="shared" si="81"/>
        <v>2.1</v>
      </c>
      <c r="AP21" s="30">
        <f t="shared" si="81"/>
        <v>2.2999999999999998</v>
      </c>
      <c r="AQ21" s="30">
        <f t="shared" si="81"/>
        <v>3.1</v>
      </c>
      <c r="AR21" s="30">
        <f t="shared" si="81"/>
        <v>4</v>
      </c>
      <c r="AS21" s="30">
        <f t="shared" si="81"/>
        <v>4.8</v>
      </c>
      <c r="AT21" s="47">
        <f t="shared" si="81"/>
        <v>5.7</v>
      </c>
      <c r="AU21" s="46">
        <f t="shared" ref="AU21:BF24" si="82">ROUND(((AU$5*TAN(3.14*2*$C$35/720))*2),1)</f>
        <v>0.5</v>
      </c>
      <c r="AV21" s="30">
        <f t="shared" si="82"/>
        <v>0.7</v>
      </c>
      <c r="AW21" s="30">
        <f t="shared" si="82"/>
        <v>0.8</v>
      </c>
      <c r="AX21" s="30">
        <f t="shared" si="82"/>
        <v>1</v>
      </c>
      <c r="AY21" s="30">
        <f t="shared" si="82"/>
        <v>1.2</v>
      </c>
      <c r="AZ21" s="30">
        <f t="shared" si="82"/>
        <v>1.3</v>
      </c>
      <c r="BA21" s="30">
        <f t="shared" si="82"/>
        <v>1.5</v>
      </c>
      <c r="BB21" s="30">
        <f t="shared" si="82"/>
        <v>1.7</v>
      </c>
      <c r="BC21" s="30">
        <f t="shared" si="82"/>
        <v>2.5</v>
      </c>
      <c r="BD21" s="30">
        <f t="shared" si="82"/>
        <v>3.4</v>
      </c>
      <c r="BE21" s="30">
        <f t="shared" si="82"/>
        <v>4.2</v>
      </c>
      <c r="BF21" s="53">
        <f t="shared" si="82"/>
        <v>5</v>
      </c>
      <c r="BG21" s="46">
        <f t="shared" si="43"/>
        <v>192.90909090909088</v>
      </c>
      <c r="BH21" s="30">
        <f t="shared" si="44"/>
        <v>116.5934065934066</v>
      </c>
      <c r="BI21" s="30">
        <f t="shared" si="45"/>
        <v>88.416666666666643</v>
      </c>
      <c r="BJ21" s="30">
        <f t="shared" si="46"/>
        <v>66.312499999999986</v>
      </c>
      <c r="BK21" s="30">
        <f t="shared" si="47"/>
        <v>49.120370370370367</v>
      </c>
      <c r="BL21" s="30">
        <f t="shared" si="48"/>
        <v>40.807692307692307</v>
      </c>
      <c r="BM21" s="30">
        <f t="shared" si="49"/>
        <v>33.682539682539677</v>
      </c>
      <c r="BN21" s="30">
        <f t="shared" si="50"/>
        <v>27.135549872122763</v>
      </c>
      <c r="BO21" s="30">
        <f t="shared" si="51"/>
        <v>13.69032258064516</v>
      </c>
      <c r="BP21" s="30">
        <f t="shared" si="52"/>
        <v>7.8014705882352935</v>
      </c>
      <c r="BQ21" s="30">
        <f t="shared" si="53"/>
        <v>5.2628968253968251</v>
      </c>
      <c r="BR21" s="47">
        <f t="shared" si="54"/>
        <v>3.7228070175438592</v>
      </c>
      <c r="BS21" s="54">
        <v>0.9</v>
      </c>
      <c r="BT21" s="165">
        <v>6039</v>
      </c>
    </row>
    <row r="22" spans="1:72" hidden="1" x14ac:dyDescent="0.25">
      <c r="A22" s="246"/>
      <c r="B22" s="29" t="s">
        <v>37</v>
      </c>
      <c r="C22" s="30">
        <v>56</v>
      </c>
      <c r="D22" s="30">
        <v>132.5</v>
      </c>
      <c r="E22" s="30" t="s">
        <v>38</v>
      </c>
      <c r="F22" s="41" t="s">
        <v>39</v>
      </c>
      <c r="G22" s="46">
        <v>0.77</v>
      </c>
      <c r="H22" s="30">
        <v>0.05</v>
      </c>
      <c r="I22" s="47">
        <v>7.0000000000000007E-2</v>
      </c>
      <c r="J22" s="46">
        <f t="shared" si="27"/>
        <v>14498</v>
      </c>
      <c r="K22" s="43">
        <f t="shared" si="28"/>
        <v>14498</v>
      </c>
      <c r="L22" s="43">
        <f t="shared" si="29"/>
        <v>14498</v>
      </c>
      <c r="M22" s="43">
        <f t="shared" si="30"/>
        <v>14498</v>
      </c>
      <c r="N22" s="43">
        <f t="shared" si="31"/>
        <v>28996</v>
      </c>
      <c r="O22" s="43">
        <f t="shared" si="32"/>
        <v>14498</v>
      </c>
      <c r="P22" s="43">
        <f t="shared" si="33"/>
        <v>14498</v>
      </c>
      <c r="Q22" s="43">
        <f t="shared" si="34"/>
        <v>21747</v>
      </c>
      <c r="R22" s="43">
        <f t="shared" si="35"/>
        <v>36245</v>
      </c>
      <c r="S22" s="43">
        <f t="shared" si="36"/>
        <v>57992</v>
      </c>
      <c r="T22" s="43">
        <f t="shared" si="37"/>
        <v>86988</v>
      </c>
      <c r="U22" s="71">
        <f t="shared" si="38"/>
        <v>115984</v>
      </c>
      <c r="V22" s="68">
        <f t="shared" si="39"/>
        <v>14498</v>
      </c>
      <c r="W22" s="46">
        <f>IF(ROUND((Расчет!$E$6/'Лист 2'!AI22),0)=0,1,CEILING((Расчет!$E$6/'Лист 2'!AI22),1))*IF(ROUND((Расчет!$F$6/'Лист 2'!AU22),0)=0,1,CEILING((Расчет!$F$6/'Лист 2'!AU22),1))*IF(ROUND((Расчет!$D$6/BG22),0)=0,1,CEILING((Расчет!$D$6/BG22),1))</f>
        <v>2</v>
      </c>
      <c r="X22" s="43">
        <f>IF(ROUND((Расчет!$E$6/'Лист 2'!AJ22),0)=0,1,CEILING((Расчет!$E$6/'Лист 2'!AJ22),1))*IF(ROUND((Расчет!$F$6/'Лист 2'!AV22),0)=0,1,CEILING((Расчет!$F$6/'Лист 2'!AV22),1))*IF(ROUND((Расчет!$D$6/BH22),0)=0,1,CEILING((Расчет!$D$6/BH22),1))</f>
        <v>2</v>
      </c>
      <c r="Y22" s="43">
        <f>IF(ROUND((Расчет!$E$6/'Лист 2'!AK22),0)=0,1,CEILING((Расчет!$E$6/'Лист 2'!AK22),1))*IF(ROUND((Расчет!$F$6/'Лист 2'!AW22),0)=0,1,CEILING((Расчет!$F$6/'Лист 2'!AW22),1))*IF(ROUND((Расчет!$D$6/BI22),0)=0,1,CEILING((Расчет!$D$6/BI22),1))</f>
        <v>2</v>
      </c>
      <c r="Z22" s="43">
        <f>IF(ROUND((Расчет!$E$6/'Лист 2'!AL22),0)=0,1,CEILING((Расчет!$E$6/'Лист 2'!AL22),1))*IF(ROUND((Расчет!$F$6/'Лист 2'!AX22),0)=0,1,CEILING((Расчет!$F$6/'Лист 2'!AX22),1))*IF(ROUND((Расчет!$D$6/BJ22),0)=0,1,CEILING((Расчет!$D$6/BJ22),1))</f>
        <v>2</v>
      </c>
      <c r="AA22" s="43">
        <f>IF(ROUND((Расчет!$E$6/'Лист 2'!AM22),0)=0,1,CEILING((Расчет!$E$6/'Лист 2'!AM22),1))*IF(ROUND((Расчет!$F$6/'Лист 2'!AY22),0)=0,1,CEILING((Расчет!$F$6/'Лист 2'!AY22),1))*IF(ROUND((Расчет!$D$6/BK22),0)=0,1,CEILING((Расчет!$D$6/BK22),1))</f>
        <v>4</v>
      </c>
      <c r="AB22" s="43">
        <f>IF(ROUND((Расчет!$E$6/'Лист 2'!AN22),0)=0,1,CEILING((Расчет!$E$6/'Лист 2'!AN22),1))*IF(ROUND((Расчет!$F$6/'Лист 2'!AZ22),0)=0,1,CEILING((Расчет!$F$6/'Лист 2'!AZ22),1))*IF(ROUND((Расчет!$D$6/BL22),0)=0,1,CEILING((Расчет!$D$6/BL22),1))</f>
        <v>2</v>
      </c>
      <c r="AC22" s="43">
        <f>IF(ROUND((Расчет!$E$6/'Лист 2'!AO22),0)=0,1,CEILING((Расчет!$E$6/'Лист 2'!AO22),1))*IF(ROUND((Расчет!$F$6/'Лист 2'!BA22),0)=0,1,CEILING((Расчет!$F$6/'Лист 2'!BA22),1))*IF(ROUND((Расчет!$D$6/BM22),0)=0,1,CEILING((Расчет!$D$6/BM22),1))</f>
        <v>2</v>
      </c>
      <c r="AD22" s="43">
        <f>IF(ROUND((Расчет!$E$6/'Лист 2'!AP22),0)=0,1,CEILING((Расчет!$E$6/'Лист 2'!AP22),1))*IF(ROUND((Расчет!$F$6/'Лист 2'!BB22),0)=0,1,CEILING((Расчет!$F$6/'Лист 2'!BB22),1))*IF(ROUND((Расчет!$D$6/BN22),0)=0,1,CEILING((Расчет!$D$6/BN22),1))</f>
        <v>3</v>
      </c>
      <c r="AE22" s="43">
        <f>IF(ROUND((Расчет!$E$6/'Лист 2'!AQ22),0)=0,1,CEILING((Расчет!$E$6/'Лист 2'!AQ22),1))*IF(ROUND((Расчет!$F$6/'Лист 2'!BC22),0)=0,1,CEILING((Расчет!$F$6/'Лист 2'!BC22),1))*IF(ROUND((Расчет!$D$6/BO22),0)=0,1,CEILING((Расчет!$D$6/BO22),1))</f>
        <v>5</v>
      </c>
      <c r="AF22" s="43">
        <f>IF(ROUND((Расчет!$E$6/'Лист 2'!AR22),0)=0,1,CEILING((Расчет!$E$6/'Лист 2'!AR22),1))*IF(ROUND((Расчет!$F$6/'Лист 2'!BD22),0)=0,1,CEILING((Расчет!$F$6/'Лист 2'!BD22),1))*IF(ROUND((Расчет!$D$6/BP22),0)=0,1,CEILING((Расчет!$D$6/BP22),1))</f>
        <v>8</v>
      </c>
      <c r="AG22" s="43">
        <f>IF(ROUND((Расчет!$E$6/'Лист 2'!AS22),0)=0,1,CEILING((Расчет!$E$6/'Лист 2'!AS22),1))*IF(ROUND((Расчет!$F$6/'Лист 2'!BE22),0)=0,1,CEILING((Расчет!$F$6/'Лист 2'!BE22),1))*IF(ROUND((Расчет!$D$6/BQ22),0)=0,1,CEILING((Расчет!$D$6/BQ22),1))</f>
        <v>12</v>
      </c>
      <c r="AH22" s="71">
        <f>IF(ROUND((Расчет!$E$6/'Лист 2'!AT22),0)=0,1,CEILING((Расчет!$E$6/'Лист 2'!AT22),1))*IF(ROUND((Расчет!$F$6/'Лист 2'!BF22),0)=0,1,CEILING((Расчет!$F$6/'Лист 2'!BF22),1))*IF(ROUND((Расчет!$D$6/BR22),0)=0,1,CEILING((Расчет!$D$6/BR22),1))</f>
        <v>16</v>
      </c>
      <c r="AI22" s="43">
        <f t="shared" si="81"/>
        <v>1.3</v>
      </c>
      <c r="AJ22" s="30">
        <f t="shared" si="81"/>
        <v>1.4</v>
      </c>
      <c r="AK22" s="30">
        <f t="shared" si="81"/>
        <v>1.6</v>
      </c>
      <c r="AL22" s="30">
        <f t="shared" si="81"/>
        <v>1.8</v>
      </c>
      <c r="AM22" s="30">
        <f t="shared" si="81"/>
        <v>1.9</v>
      </c>
      <c r="AN22" s="30">
        <f t="shared" si="81"/>
        <v>2.1</v>
      </c>
      <c r="AO22" s="30">
        <f t="shared" si="81"/>
        <v>2.2999999999999998</v>
      </c>
      <c r="AP22" s="30">
        <f t="shared" si="81"/>
        <v>2.4</v>
      </c>
      <c r="AQ22" s="30">
        <f t="shared" si="81"/>
        <v>3.3</v>
      </c>
      <c r="AR22" s="30">
        <f t="shared" si="81"/>
        <v>4.0999999999999996</v>
      </c>
      <c r="AS22" s="30">
        <f t="shared" si="81"/>
        <v>5</v>
      </c>
      <c r="AT22" s="47">
        <f t="shared" si="81"/>
        <v>5.8</v>
      </c>
      <c r="AU22" s="46">
        <f t="shared" si="82"/>
        <v>0.5</v>
      </c>
      <c r="AV22" s="30">
        <f t="shared" si="82"/>
        <v>0.7</v>
      </c>
      <c r="AW22" s="30">
        <f t="shared" si="82"/>
        <v>0.8</v>
      </c>
      <c r="AX22" s="30">
        <f t="shared" si="82"/>
        <v>1</v>
      </c>
      <c r="AY22" s="30">
        <f t="shared" si="82"/>
        <v>1.2</v>
      </c>
      <c r="AZ22" s="30">
        <f t="shared" si="82"/>
        <v>1.3</v>
      </c>
      <c r="BA22" s="30">
        <f t="shared" si="82"/>
        <v>1.5</v>
      </c>
      <c r="BB22" s="30">
        <f t="shared" si="82"/>
        <v>1.7</v>
      </c>
      <c r="BC22" s="30">
        <f t="shared" si="82"/>
        <v>2.5</v>
      </c>
      <c r="BD22" s="30">
        <f t="shared" si="82"/>
        <v>3.4</v>
      </c>
      <c r="BE22" s="30">
        <f t="shared" si="82"/>
        <v>4.2</v>
      </c>
      <c r="BF22" s="53">
        <f t="shared" si="82"/>
        <v>5</v>
      </c>
      <c r="BG22" s="46">
        <f t="shared" si="43"/>
        <v>203.84615384615384</v>
      </c>
      <c r="BH22" s="30">
        <f t="shared" si="44"/>
        <v>135.20408163265307</v>
      </c>
      <c r="BI22" s="30">
        <f t="shared" si="45"/>
        <v>103.51562499999999</v>
      </c>
      <c r="BJ22" s="30">
        <f t="shared" si="46"/>
        <v>73.611111111111114</v>
      </c>
      <c r="BK22" s="30">
        <f t="shared" si="47"/>
        <v>58.114035087719301</v>
      </c>
      <c r="BL22" s="30">
        <f t="shared" si="48"/>
        <v>48.534798534798526</v>
      </c>
      <c r="BM22" s="30">
        <f t="shared" si="49"/>
        <v>38.405797101449281</v>
      </c>
      <c r="BN22" s="30">
        <f t="shared" si="50"/>
        <v>32.475490196078432</v>
      </c>
      <c r="BO22" s="30">
        <f t="shared" si="51"/>
        <v>16.060606060606062</v>
      </c>
      <c r="BP22" s="30">
        <f t="shared" si="52"/>
        <v>9.5050215208034441</v>
      </c>
      <c r="BQ22" s="30">
        <f t="shared" si="53"/>
        <v>6.3095238095238093</v>
      </c>
      <c r="BR22" s="47">
        <f t="shared" si="54"/>
        <v>4.568965517241379</v>
      </c>
      <c r="BS22" s="43">
        <v>1.1000000000000001</v>
      </c>
      <c r="BT22" s="164">
        <v>7249</v>
      </c>
    </row>
    <row r="23" spans="1:72" hidden="1" x14ac:dyDescent="0.25">
      <c r="A23" s="246"/>
      <c r="B23" s="32" t="s">
        <v>40</v>
      </c>
      <c r="C23" s="33">
        <v>64</v>
      </c>
      <c r="D23" s="33">
        <v>159.1</v>
      </c>
      <c r="E23" s="33" t="s">
        <v>31</v>
      </c>
      <c r="F23" s="41" t="s">
        <v>41</v>
      </c>
      <c r="G23" s="48">
        <v>0.91</v>
      </c>
      <c r="H23" s="30">
        <v>0.05</v>
      </c>
      <c r="I23" s="47">
        <v>7.0000000000000007E-2</v>
      </c>
      <c r="J23" s="46">
        <f t="shared" si="27"/>
        <v>15180</v>
      </c>
      <c r="K23" s="43">
        <f t="shared" si="28"/>
        <v>15180</v>
      </c>
      <c r="L23" s="43">
        <f t="shared" si="29"/>
        <v>15180</v>
      </c>
      <c r="M23" s="43">
        <f t="shared" si="30"/>
        <v>15180</v>
      </c>
      <c r="N23" s="43">
        <f t="shared" si="31"/>
        <v>15180</v>
      </c>
      <c r="O23" s="43">
        <f t="shared" si="32"/>
        <v>15180</v>
      </c>
      <c r="P23" s="43">
        <f t="shared" si="33"/>
        <v>15180</v>
      </c>
      <c r="Q23" s="43">
        <f t="shared" si="34"/>
        <v>15180</v>
      </c>
      <c r="R23" s="43">
        <f t="shared" si="35"/>
        <v>30360</v>
      </c>
      <c r="S23" s="43">
        <f t="shared" si="36"/>
        <v>53130</v>
      </c>
      <c r="T23" s="43">
        <f t="shared" si="37"/>
        <v>75900</v>
      </c>
      <c r="U23" s="71">
        <f t="shared" si="38"/>
        <v>98670</v>
      </c>
      <c r="V23" s="68">
        <f t="shared" si="39"/>
        <v>15180</v>
      </c>
      <c r="W23" s="46">
        <f>IF(ROUND((Расчет!$E$6/'Лист 2'!AI23),0)=0,1,CEILING((Расчет!$E$6/'Лист 2'!AI23),1))*IF(ROUND((Расчет!$F$6/'Лист 2'!AU23),0)=0,1,CEILING((Расчет!$F$6/'Лист 2'!AU23),1))*IF(ROUND((Расчет!$D$6/BG23),0)=0,1,CEILING((Расчет!$D$6/BG23),1))</f>
        <v>2</v>
      </c>
      <c r="X23" s="43">
        <f>IF(ROUND((Расчет!$E$6/'Лист 2'!AJ23),0)=0,1,CEILING((Расчет!$E$6/'Лист 2'!AJ23),1))*IF(ROUND((Расчет!$F$6/'Лист 2'!AV23),0)=0,1,CEILING((Расчет!$F$6/'Лист 2'!AV23),1))*IF(ROUND((Расчет!$D$6/BH23),0)=0,1,CEILING((Расчет!$D$6/BH23),1))</f>
        <v>2</v>
      </c>
      <c r="Y23" s="43">
        <f>IF(ROUND((Расчет!$E$6/'Лист 2'!AK23),0)=0,1,CEILING((Расчет!$E$6/'Лист 2'!AK23),1))*IF(ROUND((Расчет!$F$6/'Лист 2'!AW23),0)=0,1,CEILING((Расчет!$F$6/'Лист 2'!AW23),1))*IF(ROUND((Расчет!$D$6/BI23),0)=0,1,CEILING((Расчет!$D$6/BI23),1))</f>
        <v>2</v>
      </c>
      <c r="Z23" s="43">
        <f>IF(ROUND((Расчет!$E$6/'Лист 2'!AL23),0)=0,1,CEILING((Расчет!$E$6/'Лист 2'!AL23),1))*IF(ROUND((Расчет!$F$6/'Лист 2'!AX23),0)=0,1,CEILING((Расчет!$F$6/'Лист 2'!AX23),1))*IF(ROUND((Расчет!$D$6/BJ23),0)=0,1,CEILING((Расчет!$D$6/BJ23),1))</f>
        <v>2</v>
      </c>
      <c r="AA23" s="43">
        <f>IF(ROUND((Расчет!$E$6/'Лист 2'!AM23),0)=0,1,CEILING((Расчет!$E$6/'Лист 2'!AM23),1))*IF(ROUND((Расчет!$F$6/'Лист 2'!AY23),0)=0,1,CEILING((Расчет!$F$6/'Лист 2'!AY23),1))*IF(ROUND((Расчет!$D$6/BK23),0)=0,1,CEILING((Расчет!$D$6/BK23),1))</f>
        <v>2</v>
      </c>
      <c r="AB23" s="43">
        <f>IF(ROUND((Расчет!$E$6/'Лист 2'!AN23),0)=0,1,CEILING((Расчет!$E$6/'Лист 2'!AN23),1))*IF(ROUND((Расчет!$F$6/'Лист 2'!AZ23),0)=0,1,CEILING((Расчет!$F$6/'Лист 2'!AZ23),1))*IF(ROUND((Расчет!$D$6/BL23),0)=0,1,CEILING((Расчет!$D$6/BL23),1))</f>
        <v>2</v>
      </c>
      <c r="AC23" s="43">
        <f>IF(ROUND((Расчет!$E$6/'Лист 2'!AO23),0)=0,1,CEILING((Расчет!$E$6/'Лист 2'!AO23),1))*IF(ROUND((Расчет!$F$6/'Лист 2'!BA23),0)=0,1,CEILING((Расчет!$F$6/'Лист 2'!BA23),1))*IF(ROUND((Расчет!$D$6/BM23),0)=0,1,CEILING((Расчет!$D$6/BM23),1))</f>
        <v>2</v>
      </c>
      <c r="AD23" s="43">
        <f>IF(ROUND((Расчет!$E$6/'Лист 2'!AP23),0)=0,1,CEILING((Расчет!$E$6/'Лист 2'!AP23),1))*IF(ROUND((Расчет!$F$6/'Лист 2'!BB23),0)=0,1,CEILING((Расчет!$F$6/'Лист 2'!BB23),1))*IF(ROUND((Расчет!$D$6/BN23),0)=0,1,CEILING((Расчет!$D$6/BN23),1))</f>
        <v>2</v>
      </c>
      <c r="AE23" s="43">
        <f>IF(ROUND((Расчет!$E$6/'Лист 2'!AQ23),0)=0,1,CEILING((Расчет!$E$6/'Лист 2'!AQ23),1))*IF(ROUND((Расчет!$F$6/'Лист 2'!BC23),0)=0,1,CEILING((Расчет!$F$6/'Лист 2'!BC23),1))*IF(ROUND((Расчет!$D$6/BO23),0)=0,1,CEILING((Расчет!$D$6/BO23),1))</f>
        <v>4</v>
      </c>
      <c r="AF23" s="43">
        <f>IF(ROUND((Расчет!$E$6/'Лист 2'!AR23),0)=0,1,CEILING((Расчет!$E$6/'Лист 2'!AR23),1))*IF(ROUND((Расчет!$F$6/'Лист 2'!BD23),0)=0,1,CEILING((Расчет!$F$6/'Лист 2'!BD23),1))*IF(ROUND((Расчет!$D$6/BP23),0)=0,1,CEILING((Расчет!$D$6/BP23),1))</f>
        <v>7</v>
      </c>
      <c r="AG23" s="43">
        <f>IF(ROUND((Расчет!$E$6/'Лист 2'!AS23),0)=0,1,CEILING((Расчет!$E$6/'Лист 2'!AS23),1))*IF(ROUND((Расчет!$F$6/'Лист 2'!BE23),0)=0,1,CEILING((Расчет!$F$6/'Лист 2'!BE23),1))*IF(ROUND((Расчет!$D$6/BQ23),0)=0,1,CEILING((Расчет!$D$6/BQ23),1))</f>
        <v>10</v>
      </c>
      <c r="AH23" s="71">
        <f>IF(ROUND((Расчет!$E$6/'Лист 2'!AT23),0)=0,1,CEILING((Расчет!$E$6/'Лист 2'!AT23),1))*IF(ROUND((Расчет!$F$6/'Лист 2'!BF23),0)=0,1,CEILING((Расчет!$F$6/'Лист 2'!BF23),1))*IF(ROUND((Расчет!$D$6/BR23),0)=0,1,CEILING((Расчет!$D$6/BR23),1))</f>
        <v>13</v>
      </c>
      <c r="AI23" s="43">
        <f t="shared" si="81"/>
        <v>1.4</v>
      </c>
      <c r="AJ23" s="30">
        <f t="shared" si="81"/>
        <v>1.6</v>
      </c>
      <c r="AK23" s="30">
        <f t="shared" si="81"/>
        <v>1.7</v>
      </c>
      <c r="AL23" s="30">
        <f t="shared" si="81"/>
        <v>1.9</v>
      </c>
      <c r="AM23" s="30">
        <f t="shared" si="81"/>
        <v>2.1</v>
      </c>
      <c r="AN23" s="30">
        <f t="shared" si="81"/>
        <v>2.2999999999999998</v>
      </c>
      <c r="AO23" s="30">
        <f t="shared" si="81"/>
        <v>2.4</v>
      </c>
      <c r="AP23" s="30">
        <f t="shared" si="81"/>
        <v>2.6</v>
      </c>
      <c r="AQ23" s="30">
        <f t="shared" si="81"/>
        <v>3.4</v>
      </c>
      <c r="AR23" s="30">
        <f t="shared" si="81"/>
        <v>4.3</v>
      </c>
      <c r="AS23" s="30">
        <f t="shared" si="81"/>
        <v>5.0999999999999996</v>
      </c>
      <c r="AT23" s="47">
        <f t="shared" si="81"/>
        <v>5.9</v>
      </c>
      <c r="AU23" s="46">
        <f t="shared" si="82"/>
        <v>0.5</v>
      </c>
      <c r="AV23" s="30">
        <f t="shared" si="82"/>
        <v>0.7</v>
      </c>
      <c r="AW23" s="30">
        <f t="shared" si="82"/>
        <v>0.8</v>
      </c>
      <c r="AX23" s="30">
        <f t="shared" si="82"/>
        <v>1</v>
      </c>
      <c r="AY23" s="30">
        <f t="shared" si="82"/>
        <v>1.2</v>
      </c>
      <c r="AZ23" s="30">
        <f t="shared" si="82"/>
        <v>1.3</v>
      </c>
      <c r="BA23" s="30">
        <f t="shared" si="82"/>
        <v>1.5</v>
      </c>
      <c r="BB23" s="30">
        <f t="shared" si="82"/>
        <v>1.7</v>
      </c>
      <c r="BC23" s="30">
        <f t="shared" si="82"/>
        <v>2.5</v>
      </c>
      <c r="BD23" s="30">
        <f t="shared" si="82"/>
        <v>3.4</v>
      </c>
      <c r="BE23" s="30">
        <f t="shared" si="82"/>
        <v>4.2</v>
      </c>
      <c r="BF23" s="53">
        <f t="shared" si="82"/>
        <v>5</v>
      </c>
      <c r="BG23" s="46">
        <f t="shared" si="43"/>
        <v>227.28571428571431</v>
      </c>
      <c r="BH23" s="30">
        <f t="shared" si="44"/>
        <v>142.05357142857144</v>
      </c>
      <c r="BI23" s="30">
        <f t="shared" si="45"/>
        <v>116.98529411764704</v>
      </c>
      <c r="BJ23" s="30">
        <f t="shared" si="46"/>
        <v>83.736842105263165</v>
      </c>
      <c r="BK23" s="30">
        <f t="shared" si="47"/>
        <v>63.134920634920633</v>
      </c>
      <c r="BL23" s="30">
        <f t="shared" si="48"/>
        <v>53.210702341137129</v>
      </c>
      <c r="BM23" s="30">
        <f t="shared" si="49"/>
        <v>44.19444444444445</v>
      </c>
      <c r="BN23" s="30">
        <f t="shared" si="50"/>
        <v>35.995475113122168</v>
      </c>
      <c r="BO23" s="30">
        <f t="shared" si="51"/>
        <v>18.71764705882353</v>
      </c>
      <c r="BP23" s="30">
        <f t="shared" si="52"/>
        <v>10.882352941176471</v>
      </c>
      <c r="BQ23" s="30">
        <f t="shared" si="53"/>
        <v>7.4276377217553691</v>
      </c>
      <c r="BR23" s="47">
        <f t="shared" si="54"/>
        <v>5.3932203389830509</v>
      </c>
      <c r="BS23" s="54">
        <v>1.3</v>
      </c>
      <c r="BT23" s="165">
        <v>7590</v>
      </c>
    </row>
    <row r="24" spans="1:72" ht="15.75" hidden="1" thickBot="1" x14ac:dyDescent="0.3">
      <c r="A24" s="246"/>
      <c r="B24" s="29" t="s">
        <v>42</v>
      </c>
      <c r="C24" s="30">
        <v>96</v>
      </c>
      <c r="D24" s="30">
        <v>212.1</v>
      </c>
      <c r="E24" s="30" t="s">
        <v>31</v>
      </c>
      <c r="F24" s="41" t="s">
        <v>43</v>
      </c>
      <c r="G24" s="50">
        <v>1.3</v>
      </c>
      <c r="H24" s="30">
        <v>0.05</v>
      </c>
      <c r="I24" s="47">
        <v>7.0000000000000007E-2</v>
      </c>
      <c r="J24" s="50">
        <f t="shared" si="27"/>
        <v>23518</v>
      </c>
      <c r="K24" s="66">
        <f t="shared" si="28"/>
        <v>11759</v>
      </c>
      <c r="L24" s="66">
        <f t="shared" si="29"/>
        <v>11759</v>
      </c>
      <c r="M24" s="66">
        <f t="shared" si="30"/>
        <v>11759</v>
      </c>
      <c r="N24" s="66">
        <f t="shared" si="31"/>
        <v>11759</v>
      </c>
      <c r="O24" s="66">
        <f t="shared" si="32"/>
        <v>23518</v>
      </c>
      <c r="P24" s="66">
        <f t="shared" si="33"/>
        <v>23518</v>
      </c>
      <c r="Q24" s="66">
        <f t="shared" si="34"/>
        <v>23518</v>
      </c>
      <c r="R24" s="66">
        <f t="shared" si="35"/>
        <v>47036</v>
      </c>
      <c r="S24" s="66">
        <f t="shared" si="36"/>
        <v>70554</v>
      </c>
      <c r="T24" s="66">
        <f t="shared" si="37"/>
        <v>94072</v>
      </c>
      <c r="U24" s="72">
        <f t="shared" si="38"/>
        <v>129349</v>
      </c>
      <c r="V24" s="69">
        <f t="shared" si="39"/>
        <v>11759</v>
      </c>
      <c r="W24" s="50">
        <f>IF(ROUND((Расчет!$E$6/'Лист 2'!AI24),0)=0,1,CEILING((Расчет!$E$6/'Лист 2'!AI24),1))*IF(ROUND((Расчет!$F$6/'Лист 2'!AU24),0)=0,1,CEILING((Расчет!$F$6/'Лист 2'!AU24),1))*IF(ROUND((Расчет!$D$6/BG24),0)=0,1,CEILING((Расчет!$D$6/BG24),1))</f>
        <v>2</v>
      </c>
      <c r="X24" s="66">
        <f>IF(ROUND((Расчет!$E$6/'Лист 2'!AJ24),0)=0,1,CEILING((Расчет!$E$6/'Лист 2'!AJ24),1))*IF(ROUND((Расчет!$F$6/'Лист 2'!AV24),0)=0,1,CEILING((Расчет!$F$6/'Лист 2'!AV24),1))*IF(ROUND((Расчет!$D$6/BH24),0)=0,1,CEILING((Расчет!$D$6/BH24),1))</f>
        <v>1</v>
      </c>
      <c r="Y24" s="66">
        <f>IF(ROUND((Расчет!$E$6/'Лист 2'!AK24),0)=0,1,CEILING((Расчет!$E$6/'Лист 2'!AK24),1))*IF(ROUND((Расчет!$F$6/'Лист 2'!AW24),0)=0,1,CEILING((Расчет!$F$6/'Лист 2'!AW24),1))*IF(ROUND((Расчет!$D$6/BI24),0)=0,1,CEILING((Расчет!$D$6/BI24),1))</f>
        <v>1</v>
      </c>
      <c r="Z24" s="66">
        <f>IF(ROUND((Расчет!$E$6/'Лист 2'!AL24),0)=0,1,CEILING((Расчет!$E$6/'Лист 2'!AL24),1))*IF(ROUND((Расчет!$F$6/'Лист 2'!AX24),0)=0,1,CEILING((Расчет!$F$6/'Лист 2'!AX24),1))*IF(ROUND((Расчет!$D$6/BJ24),0)=0,1,CEILING((Расчет!$D$6/BJ24),1))</f>
        <v>1</v>
      </c>
      <c r="AA24" s="66">
        <f>IF(ROUND((Расчет!$E$6/'Лист 2'!AM24),0)=0,1,CEILING((Расчет!$E$6/'Лист 2'!AM24),1))*IF(ROUND((Расчет!$F$6/'Лист 2'!AY24),0)=0,1,CEILING((Расчет!$F$6/'Лист 2'!AY24),1))*IF(ROUND((Расчет!$D$6/BK24),0)=0,1,CEILING((Расчет!$D$6/BK24),1))</f>
        <v>1</v>
      </c>
      <c r="AB24" s="66">
        <f>IF(ROUND((Расчет!$E$6/'Лист 2'!AN24),0)=0,1,CEILING((Расчет!$E$6/'Лист 2'!AN24),1))*IF(ROUND((Расчет!$F$6/'Лист 2'!AZ24),0)=0,1,CEILING((Расчет!$F$6/'Лист 2'!AZ24),1))*IF(ROUND((Расчет!$D$6/BL24),0)=0,1,CEILING((Расчет!$D$6/BL24),1))</f>
        <v>2</v>
      </c>
      <c r="AC24" s="66">
        <f>IF(ROUND((Расчет!$E$6/'Лист 2'!AO24),0)=0,1,CEILING((Расчет!$E$6/'Лист 2'!AO24),1))*IF(ROUND((Расчет!$F$6/'Лист 2'!BA24),0)=0,1,CEILING((Расчет!$F$6/'Лист 2'!BA24),1))*IF(ROUND((Расчет!$D$6/BM24),0)=0,1,CEILING((Расчет!$D$6/BM24),1))</f>
        <v>2</v>
      </c>
      <c r="AD24" s="66">
        <f>IF(ROUND((Расчет!$E$6/'Лист 2'!AP24),0)=0,1,CEILING((Расчет!$E$6/'Лист 2'!AP24),1))*IF(ROUND((Расчет!$F$6/'Лист 2'!BB24),0)=0,1,CEILING((Расчет!$F$6/'Лист 2'!BB24),1))*IF(ROUND((Расчет!$D$6/BN24),0)=0,1,CEILING((Расчет!$D$6/BN24),1))</f>
        <v>2</v>
      </c>
      <c r="AE24" s="66">
        <f>IF(ROUND((Расчет!$E$6/'Лист 2'!AQ24),0)=0,1,CEILING((Расчет!$E$6/'Лист 2'!AQ24),1))*IF(ROUND((Расчет!$F$6/'Лист 2'!BC24),0)=0,1,CEILING((Расчет!$F$6/'Лист 2'!BC24),1))*IF(ROUND((Расчет!$D$6/BO24),0)=0,1,CEILING((Расчет!$D$6/BO24),1))</f>
        <v>4</v>
      </c>
      <c r="AF24" s="66">
        <f>IF(ROUND((Расчет!$E$6/'Лист 2'!AR24),0)=0,1,CEILING((Расчет!$E$6/'Лист 2'!AR24),1))*IF(ROUND((Расчет!$F$6/'Лист 2'!BD24),0)=0,1,CEILING((Расчет!$F$6/'Лист 2'!BD24),1))*IF(ROUND((Расчет!$D$6/BP24),0)=0,1,CEILING((Расчет!$D$6/BP24),1))</f>
        <v>6</v>
      </c>
      <c r="AG24" s="66">
        <f>IF(ROUND((Расчет!$E$6/'Лист 2'!AS24),0)=0,1,CEILING((Расчет!$E$6/'Лист 2'!AS24),1))*IF(ROUND((Расчет!$F$6/'Лист 2'!BE24),0)=0,1,CEILING((Расчет!$F$6/'Лист 2'!BE24),1))*IF(ROUND((Расчет!$D$6/BQ24),0)=0,1,CEILING((Расчет!$D$6/BQ24),1))</f>
        <v>8</v>
      </c>
      <c r="AH24" s="72">
        <f>IF(ROUND((Расчет!$E$6/'Лист 2'!AT24),0)=0,1,CEILING((Расчет!$E$6/'Лист 2'!AT24),1))*IF(ROUND((Расчет!$F$6/'Лист 2'!BF24),0)=0,1,CEILING((Расчет!$F$6/'Лист 2'!BF24),1))*IF(ROUND((Расчет!$D$6/BR24),0)=0,1,CEILING((Расчет!$D$6/BR24),1))</f>
        <v>11</v>
      </c>
      <c r="AI24" s="66">
        <f t="shared" si="81"/>
        <v>1.8</v>
      </c>
      <c r="AJ24" s="51">
        <f t="shared" si="81"/>
        <v>2</v>
      </c>
      <c r="AK24" s="51">
        <f t="shared" si="81"/>
        <v>2.1</v>
      </c>
      <c r="AL24" s="51">
        <f t="shared" si="81"/>
        <v>2.2999999999999998</v>
      </c>
      <c r="AM24" s="51">
        <f t="shared" si="81"/>
        <v>2.5</v>
      </c>
      <c r="AN24" s="51">
        <f t="shared" si="81"/>
        <v>2.6</v>
      </c>
      <c r="AO24" s="51">
        <f t="shared" si="81"/>
        <v>2.8</v>
      </c>
      <c r="AP24" s="51">
        <f t="shared" si="81"/>
        <v>3</v>
      </c>
      <c r="AQ24" s="51">
        <f t="shared" si="81"/>
        <v>3.8</v>
      </c>
      <c r="AR24" s="51">
        <f t="shared" si="81"/>
        <v>4.7</v>
      </c>
      <c r="AS24" s="51">
        <f t="shared" si="81"/>
        <v>5.5</v>
      </c>
      <c r="AT24" s="52">
        <f t="shared" si="81"/>
        <v>6.3</v>
      </c>
      <c r="AU24" s="50">
        <f t="shared" si="82"/>
        <v>0.5</v>
      </c>
      <c r="AV24" s="51">
        <f t="shared" si="82"/>
        <v>0.7</v>
      </c>
      <c r="AW24" s="51">
        <f t="shared" si="82"/>
        <v>0.8</v>
      </c>
      <c r="AX24" s="51">
        <f t="shared" si="82"/>
        <v>1</v>
      </c>
      <c r="AY24" s="51">
        <f t="shared" si="82"/>
        <v>1.2</v>
      </c>
      <c r="AZ24" s="51">
        <f t="shared" si="82"/>
        <v>1.3</v>
      </c>
      <c r="BA24" s="51">
        <f t="shared" si="82"/>
        <v>1.5</v>
      </c>
      <c r="BB24" s="51">
        <f t="shared" si="82"/>
        <v>1.7</v>
      </c>
      <c r="BC24" s="51">
        <f t="shared" si="82"/>
        <v>2.5</v>
      </c>
      <c r="BD24" s="51">
        <f t="shared" si="82"/>
        <v>3.4</v>
      </c>
      <c r="BE24" s="51">
        <f t="shared" si="82"/>
        <v>4.2</v>
      </c>
      <c r="BF24" s="64">
        <f t="shared" si="82"/>
        <v>5</v>
      </c>
      <c r="BG24" s="50">
        <f t="shared" si="43"/>
        <v>235.66666666666666</v>
      </c>
      <c r="BH24" s="51">
        <f t="shared" si="44"/>
        <v>151.5</v>
      </c>
      <c r="BI24" s="51">
        <f t="shared" si="45"/>
        <v>126.24999999999999</v>
      </c>
      <c r="BJ24" s="51">
        <f t="shared" si="46"/>
        <v>92.217391304347828</v>
      </c>
      <c r="BK24" s="51">
        <f t="shared" si="47"/>
        <v>70.7</v>
      </c>
      <c r="BL24" s="51">
        <f t="shared" si="48"/>
        <v>62.751479289940818</v>
      </c>
      <c r="BM24" s="51">
        <f t="shared" si="49"/>
        <v>50.500000000000007</v>
      </c>
      <c r="BN24" s="51">
        <f t="shared" si="50"/>
        <v>41.588235294117652</v>
      </c>
      <c r="BO24" s="51">
        <f t="shared" si="51"/>
        <v>22.326315789473682</v>
      </c>
      <c r="BP24" s="51">
        <f t="shared" si="52"/>
        <v>13.272841051314142</v>
      </c>
      <c r="BQ24" s="51">
        <f t="shared" si="53"/>
        <v>9.1818181818181817</v>
      </c>
      <c r="BR24" s="52">
        <f t="shared" si="54"/>
        <v>6.7333333333333334</v>
      </c>
      <c r="BS24" s="43">
        <v>1.8</v>
      </c>
      <c r="BT24" s="164">
        <v>11759</v>
      </c>
    </row>
    <row r="25" spans="1:72" ht="15.75" hidden="1" thickBot="1" x14ac:dyDescent="0.3">
      <c r="J25" s="79">
        <f t="shared" ref="J25:U25" si="83">MIN(J21:J24)</f>
        <v>12078</v>
      </c>
      <c r="K25" s="79">
        <f t="shared" si="83"/>
        <v>11759</v>
      </c>
      <c r="L25" s="79">
        <f t="shared" si="83"/>
        <v>11759</v>
      </c>
      <c r="M25" s="80">
        <f t="shared" si="83"/>
        <v>11759</v>
      </c>
      <c r="N25" s="79">
        <f t="shared" si="83"/>
        <v>11759</v>
      </c>
      <c r="O25" s="79">
        <f t="shared" si="83"/>
        <v>12078</v>
      </c>
      <c r="P25" s="79">
        <f t="shared" si="83"/>
        <v>14498</v>
      </c>
      <c r="Q25" s="79">
        <f t="shared" si="83"/>
        <v>15180</v>
      </c>
      <c r="R25" s="79">
        <f t="shared" si="83"/>
        <v>30360</v>
      </c>
      <c r="S25" s="79">
        <f t="shared" si="83"/>
        <v>53130</v>
      </c>
      <c r="T25" s="79">
        <f t="shared" si="83"/>
        <v>75900</v>
      </c>
      <c r="U25" s="80">
        <f t="shared" si="83"/>
        <v>98670</v>
      </c>
      <c r="V25" s="70"/>
    </row>
    <row r="26" spans="1:72" ht="55.5" hidden="1" customHeight="1" x14ac:dyDescent="0.25">
      <c r="M26" s="82">
        <f>MATCH(N26,J13:U13,0)+9</f>
        <v>10</v>
      </c>
      <c r="N26" s="247">
        <f>MIN(J7:U12)</f>
        <v>6070</v>
      </c>
      <c r="O26" s="245"/>
      <c r="P26" s="81">
        <f>M27</f>
        <v>7</v>
      </c>
      <c r="Q26" t="s">
        <v>105</v>
      </c>
      <c r="R26" s="81">
        <f ca="1">INDIRECT(ADDRESS(P26,3))</f>
        <v>16</v>
      </c>
      <c r="S26" s="81">
        <f ca="1">IF(N$34=A$7,R26,0)+IF(N$34=A$14,R28,0)+IF(N$34=A21,R30,0)</f>
        <v>24</v>
      </c>
      <c r="T26" s="70" t="str">
        <f ca="1">(CONCATENATE("SSO-220/",TEXT(S26,0),"-05.2",Расчет!L6))</f>
        <v>SSO-220/24-05.2(FGO-UP) ФИТО-Оптима</v>
      </c>
      <c r="U26" s="81">
        <f ca="1">IF(N$34=A$7,N26,0)+IF(N$34=A$14,N28,0)+IF(N$34=A21,N30,0)</f>
        <v>8350</v>
      </c>
      <c r="V26" s="30" t="s">
        <v>107</v>
      </c>
    </row>
    <row r="27" spans="1:72" ht="43.5" hidden="1" thickBot="1" x14ac:dyDescent="0.3">
      <c r="M27" s="69">
        <f>MATCH(N26,V7:V12,0)+6</f>
        <v>7</v>
      </c>
      <c r="N27" s="241"/>
      <c r="O27" s="244"/>
      <c r="P27" s="30">
        <f>M26</f>
        <v>10</v>
      </c>
      <c r="Q27" t="s">
        <v>106</v>
      </c>
      <c r="R27" s="30">
        <f ca="1">INDIRECT(ADDRESS(5,P27))</f>
        <v>0.3</v>
      </c>
      <c r="S27" s="30">
        <f ca="1">IF(N$34=A$7,R27,0)+IF(N$34=A$14,R29,0)+IF(N$34=A21,R31,0)</f>
        <v>0.3</v>
      </c>
      <c r="T27" s="30" t="s">
        <v>109</v>
      </c>
      <c r="U27" s="81">
        <f ca="1">IF(T$26=B7,BT7,0)+IF(T$26=B8,BT8,0)+IF(T$26=B9,BT9,0)+IF(T$26=B10,BT10,0)+IF(T$26=B11,BT11,0)+IF(T$26=B12,BT12,0)+IF(T$26=B14,BT14,0)+IF(T$26=B15,BT15,0)+IF(T$26=B16,BT16,0)+IF(T$26=B17,BT17,0)+IF(T$26=B18,BT18,0)+IF(T$26=B19,BT19,0)+IF(T$26=B21,BT21,0)+IF(T$26=B22,BT22,0)+IF(T$26=B23,BT23,0)+IF(T$26=B24,BT24,0)</f>
        <v>4175</v>
      </c>
      <c r="V27" s="30" t="s">
        <v>114</v>
      </c>
    </row>
    <row r="28" spans="1:72" ht="42.75" hidden="1" x14ac:dyDescent="0.25">
      <c r="M28" s="82">
        <f>MATCH(N28,J20:U20,0)+9</f>
        <v>10</v>
      </c>
      <c r="N28" s="241">
        <f>MIN(J14:U19)</f>
        <v>8350</v>
      </c>
      <c r="O28" s="243"/>
      <c r="P28" s="30">
        <f>M29</f>
        <v>14</v>
      </c>
      <c r="Q28" t="s">
        <v>105</v>
      </c>
      <c r="R28" s="30">
        <f ca="1">INDIRECT(ADDRESS(P28,3))</f>
        <v>24</v>
      </c>
      <c r="U28" s="81">
        <f ca="1">U26/U27</f>
        <v>2</v>
      </c>
      <c r="V28" s="30" t="s">
        <v>103</v>
      </c>
    </row>
    <row r="29" spans="1:72" ht="15.75" hidden="1" thickBot="1" x14ac:dyDescent="0.3">
      <c r="M29" s="69">
        <f>MATCH(N28,V14:V19,0)+13</f>
        <v>14</v>
      </c>
      <c r="N29" s="241"/>
      <c r="O29" s="244"/>
      <c r="P29" s="30">
        <f>M28</f>
        <v>10</v>
      </c>
      <c r="Q29" t="s">
        <v>106</v>
      </c>
      <c r="R29" s="30">
        <f ca="1">INDIRECT(ADDRESS(5,P29))</f>
        <v>0.3</v>
      </c>
      <c r="U29" s="92"/>
    </row>
    <row r="30" spans="1:72" hidden="1" x14ac:dyDescent="0.25">
      <c r="M30" s="82">
        <f>MATCH(N30,J25:U25,0)+9</f>
        <v>11</v>
      </c>
      <c r="N30" s="241">
        <f>MIN(J21:U24)</f>
        <v>11759</v>
      </c>
      <c r="O30" s="242"/>
      <c r="P30" s="30">
        <f>M31</f>
        <v>24</v>
      </c>
      <c r="Q30" t="s">
        <v>105</v>
      </c>
      <c r="R30" s="30">
        <f ca="1">INDIRECT(ADDRESS(P30,3))</f>
        <v>96</v>
      </c>
      <c r="U30" s="92"/>
    </row>
    <row r="31" spans="1:72" ht="15.75" hidden="1" thickBot="1" x14ac:dyDescent="0.3">
      <c r="M31" s="69">
        <f>MATCH(N30,V21:V24,0)+20</f>
        <v>24</v>
      </c>
      <c r="N31" s="241"/>
      <c r="O31" s="242"/>
      <c r="P31" s="30">
        <f>M30</f>
        <v>11</v>
      </c>
      <c r="Q31" t="s">
        <v>106</v>
      </c>
      <c r="R31" s="30">
        <f ca="1">INDIRECT(ADDRESS(5,P31))</f>
        <v>0.4</v>
      </c>
      <c r="U31" s="92"/>
    </row>
    <row r="32" spans="1:72" hidden="1" x14ac:dyDescent="0.25">
      <c r="C32" s="229" t="s">
        <v>56</v>
      </c>
      <c r="D32" s="229"/>
      <c r="E32" s="229"/>
      <c r="F32" s="229"/>
      <c r="G32" s="229"/>
      <c r="H32" s="229"/>
      <c r="I32" s="17"/>
      <c r="J32" s="17"/>
      <c r="K32" s="17"/>
      <c r="U32" s="92"/>
    </row>
    <row r="33" spans="3:21" hidden="1" x14ac:dyDescent="0.25">
      <c r="C33" s="229" t="s">
        <v>57</v>
      </c>
      <c r="D33" s="229"/>
      <c r="E33" s="229"/>
      <c r="F33" s="229"/>
      <c r="G33" s="229"/>
      <c r="H33" s="229"/>
      <c r="I33" s="17"/>
      <c r="J33" s="17"/>
      <c r="K33" s="17"/>
      <c r="R33" s="92"/>
      <c r="S33" s="92"/>
      <c r="U33" s="92"/>
    </row>
    <row r="34" spans="3:21" ht="60" hidden="1" x14ac:dyDescent="0.25">
      <c r="C34" s="18" t="s">
        <v>58</v>
      </c>
      <c r="D34" s="18" t="s">
        <v>59</v>
      </c>
      <c r="E34" s="37" t="s">
        <v>60</v>
      </c>
      <c r="F34" s="18" t="s">
        <v>61</v>
      </c>
      <c r="G34" s="18" t="s">
        <v>62</v>
      </c>
      <c r="H34" s="18" t="s">
        <v>63</v>
      </c>
      <c r="I34" s="18" t="s">
        <v>64</v>
      </c>
      <c r="J34" s="18" t="s">
        <v>65</v>
      </c>
      <c r="K34" s="38"/>
      <c r="N34" s="112" t="str">
        <f ca="1">Расчет!L6</f>
        <v>(FGO-UP) ФИТО-Оптима</v>
      </c>
      <c r="R34" s="92"/>
      <c r="S34" s="92"/>
      <c r="U34" s="92"/>
    </row>
    <row r="35" spans="3:21" hidden="1" x14ac:dyDescent="0.25">
      <c r="C35" s="18">
        <v>80</v>
      </c>
      <c r="D35" s="18">
        <v>0.6</v>
      </c>
      <c r="E35" s="37">
        <f>D35*TAN(3.14*2*C35/720)</f>
        <v>0.50309801650289465</v>
      </c>
      <c r="F35" s="18">
        <f>D35*TAN(3.14*2*C35/720)</f>
        <v>0.50309801650289465</v>
      </c>
      <c r="G35" s="18">
        <v>1.3</v>
      </c>
      <c r="H35" s="18">
        <f>F35*2</f>
        <v>1.0061960330057893</v>
      </c>
      <c r="I35" s="18">
        <f>F35*2+G35</f>
        <v>2.3061960330057891</v>
      </c>
      <c r="J35" s="18">
        <f>H35*I35</f>
        <v>2.3204852997441132</v>
      </c>
      <c r="K35" s="38"/>
      <c r="R35" s="92"/>
      <c r="S35" s="92"/>
      <c r="U35" s="92"/>
    </row>
    <row r="36" spans="3:21" hidden="1" x14ac:dyDescent="0.25">
      <c r="C36" s="17"/>
      <c r="D36" s="17"/>
      <c r="E36" s="17"/>
      <c r="F36" s="17"/>
      <c r="G36" s="17"/>
      <c r="H36" s="17"/>
      <c r="I36" s="17"/>
      <c r="J36" s="17"/>
      <c r="K36" s="17"/>
      <c r="U36" s="92"/>
    </row>
    <row r="37" spans="3:21" hidden="1" x14ac:dyDescent="0.25">
      <c r="C37" s="17"/>
      <c r="D37" s="17"/>
      <c r="E37" s="17"/>
      <c r="F37" s="17"/>
      <c r="G37" s="17"/>
      <c r="H37" s="17"/>
      <c r="I37" s="17"/>
      <c r="J37" s="17"/>
      <c r="K37" s="17"/>
      <c r="U37" s="92"/>
    </row>
    <row r="38" spans="3:21" hidden="1" x14ac:dyDescent="0.25">
      <c r="C38" s="230" t="s">
        <v>66</v>
      </c>
      <c r="D38" s="230"/>
      <c r="E38" s="230"/>
      <c r="F38" s="230"/>
      <c r="G38" s="230"/>
      <c r="H38" s="230"/>
      <c r="I38" s="17"/>
      <c r="J38" s="17"/>
      <c r="K38" s="17"/>
      <c r="U38" s="92"/>
    </row>
    <row r="39" spans="3:21" ht="75" hidden="1" x14ac:dyDescent="0.25">
      <c r="C39" s="19" t="s">
        <v>67</v>
      </c>
      <c r="D39" s="18" t="s">
        <v>68</v>
      </c>
      <c r="E39" s="17"/>
      <c r="F39" s="17"/>
      <c r="G39" s="17"/>
      <c r="H39" s="17"/>
      <c r="I39" s="17"/>
      <c r="J39" s="17"/>
      <c r="K39" s="17"/>
      <c r="U39" s="92"/>
    </row>
    <row r="40" spans="3:21" hidden="1" x14ac:dyDescent="0.25">
      <c r="C40" s="18">
        <v>318.2</v>
      </c>
      <c r="D40" s="18">
        <f>C40/J35</f>
        <v>137.12648816826757</v>
      </c>
      <c r="E40" s="17"/>
      <c r="F40" s="17"/>
      <c r="G40" s="17"/>
      <c r="H40" s="17"/>
      <c r="I40" s="17"/>
      <c r="J40" s="17"/>
      <c r="K40" s="17"/>
      <c r="U40" s="92"/>
    </row>
    <row r="41" spans="3:21" hidden="1" x14ac:dyDescent="0.25">
      <c r="U41" s="92"/>
    </row>
    <row r="42" spans="3:21" hidden="1" x14ac:dyDescent="0.25">
      <c r="U42" s="92"/>
    </row>
    <row r="43" spans="3:21" hidden="1" x14ac:dyDescent="0.25">
      <c r="U43" s="92"/>
    </row>
    <row r="44" spans="3:21" ht="60" hidden="1" x14ac:dyDescent="0.25">
      <c r="C44" s="22" t="s">
        <v>58</v>
      </c>
      <c r="D44" s="22" t="s">
        <v>59</v>
      </c>
      <c r="E44" s="22" t="s">
        <v>60</v>
      </c>
      <c r="F44" s="22" t="s">
        <v>61</v>
      </c>
      <c r="G44" s="22" t="s">
        <v>62</v>
      </c>
      <c r="H44" s="22" t="s">
        <v>63</v>
      </c>
      <c r="I44" s="22" t="s">
        <v>64</v>
      </c>
      <c r="J44" s="22" t="s">
        <v>65</v>
      </c>
      <c r="K44" s="39"/>
    </row>
    <row r="45" spans="3:21" hidden="1" x14ac:dyDescent="0.25"/>
    <row r="46" spans="3:21" hidden="1" x14ac:dyDescent="0.25"/>
    <row r="47" spans="3:21" hidden="1" x14ac:dyDescent="0.25"/>
    <row r="48" spans="3:21" ht="75" hidden="1" x14ac:dyDescent="0.25">
      <c r="C48" s="23" t="s">
        <v>67</v>
      </c>
      <c r="D48" s="22" t="s">
        <v>68</v>
      </c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</sheetData>
  <sheetProtection password="C7BD" sheet="1" objects="1" scenarios="1" selectLockedCells="1" selectUnlockedCells="1"/>
  <mergeCells count="20">
    <mergeCell ref="A7:A12"/>
    <mergeCell ref="A14:A19"/>
    <mergeCell ref="A21:A24"/>
    <mergeCell ref="N26:N27"/>
    <mergeCell ref="N28:N29"/>
    <mergeCell ref="C32:H32"/>
    <mergeCell ref="C33:H33"/>
    <mergeCell ref="C38:H38"/>
    <mergeCell ref="G5:I5"/>
    <mergeCell ref="BG4:BR4"/>
    <mergeCell ref="BG6:BR6"/>
    <mergeCell ref="AI4:BF4"/>
    <mergeCell ref="W4:AH4"/>
    <mergeCell ref="J4:U4"/>
    <mergeCell ref="AI6:AT6"/>
    <mergeCell ref="AU6:BF6"/>
    <mergeCell ref="N30:N31"/>
    <mergeCell ref="O30:O31"/>
    <mergeCell ref="O28:O29"/>
    <mergeCell ref="O26:O27"/>
  </mergeCells>
  <hyperlinks>
    <hyperlink ref="B7" r:id="rId1" display="https://zao-proton.ru/product/fitoled-svetilniki-serii-fgo-vp?shopSku_id=64"/>
    <hyperlink ref="B9" r:id="rId2" display="https://zao-proton.ru/product/fitoled-svetilniki-serii-fgo-vp?shopSku_id=65"/>
    <hyperlink ref="B10" r:id="rId3" display="https://zao-proton.ru/product/fitoled-svetilniki-serii-fgo-vp?shopSku_id=66"/>
    <hyperlink ref="B11" r:id="rId4" display="https://zao-proton.ru/product/fitoled-svetilniki-serii-fgo-vp?shopSku_id=67"/>
    <hyperlink ref="B12" r:id="rId5" display="https://zao-proton.ru/product/fitoled-svetilniki-serii-fgo-vp?shopSku_id=68"/>
    <hyperlink ref="B14" r:id="rId6" display="https://zao-proton.ru/product/fitoled-svetilniki-serii-fgo-up?shopSku_id=70"/>
    <hyperlink ref="B16" r:id="rId7" display="https://zao-proton.ru/product/fitoled-svetilniki-serii-fgo-up?shopSku_id=72"/>
    <hyperlink ref="B17" r:id="rId8" display="https://zao-proton.ru/product/fitoled-svetilniki-serii-fgo-up?shopSku_id=73"/>
    <hyperlink ref="B18" r:id="rId9" display="https://zao-proton.ru/product/fitoled-svetilniki-serii-fgo-up?shopSku_id=74"/>
    <hyperlink ref="B19" r:id="rId10" display="https://zao-proton.ru/product/fitoled-svetilniki-serii-fgo-up?shopSku_id=75"/>
    <hyperlink ref="B22" r:id="rId11" display="https://zao-proton.ru/product/fitoled-svetilniki-serii-fgo-mp?shopSku_id=79"/>
    <hyperlink ref="B23" r:id="rId12" display="https://zao-proton.ru/product/fitoled-svetilniki-serii-fgo-mp?shopSku_id=80"/>
    <hyperlink ref="B24" r:id="rId13" display="https://zao-proton.ru/product/fitoled-svetilniki-serii-fgo-mp?shopSku_id=81"/>
    <hyperlink ref="B8" r:id="rId14" display="https://zao-proton.ru/product/fitoled-svetilniki-serii-fgo-vp?shopSku_id=64"/>
    <hyperlink ref="B15" r:id="rId15" display="https://zao-proton.ru/product/fitoled-svetilniki-serii-fgo-up?shopSku_id=7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36"/>
  <sheetViews>
    <sheetView topLeftCell="B1" workbookViewId="0">
      <selection activeCell="B2" sqref="A2:XFD136"/>
    </sheetView>
  </sheetViews>
  <sheetFormatPr defaultRowHeight="15" x14ac:dyDescent="0.25"/>
  <cols>
    <col min="1" max="1" width="22.85546875" customWidth="1"/>
    <col min="2" max="2" width="39.85546875" customWidth="1"/>
    <col min="10" max="10" width="11" customWidth="1"/>
    <col min="14" max="14" width="9.140625" customWidth="1"/>
    <col min="16" max="16" width="13.5703125" customWidth="1"/>
    <col min="19" max="19" width="12" customWidth="1"/>
    <col min="20" max="20" width="20.28515625" customWidth="1"/>
    <col min="21" max="21" width="16.140625" customWidth="1"/>
    <col min="22" max="22" width="11.85546875" customWidth="1"/>
  </cols>
  <sheetData>
    <row r="2" spans="1:26" hidden="1" x14ac:dyDescent="0.25"/>
    <row r="3" spans="1:26" hidden="1" x14ac:dyDescent="0.25"/>
    <row r="4" spans="1:26" ht="67.5" hidden="1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88" t="s">
        <v>104</v>
      </c>
      <c r="K4" s="88" t="s">
        <v>103</v>
      </c>
      <c r="L4" s="249" t="s">
        <v>97</v>
      </c>
      <c r="M4" s="250"/>
      <c r="N4" s="89" t="s">
        <v>102</v>
      </c>
      <c r="O4" s="90"/>
      <c r="P4" s="86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60" hidden="1" x14ac:dyDescent="0.25">
      <c r="B5" s="28" t="s">
        <v>25</v>
      </c>
      <c r="C5" s="28" t="s">
        <v>100</v>
      </c>
      <c r="D5" s="28" t="s">
        <v>26</v>
      </c>
      <c r="E5" s="28" t="s">
        <v>27</v>
      </c>
      <c r="F5" s="40" t="s">
        <v>28</v>
      </c>
      <c r="G5" s="231" t="s">
        <v>98</v>
      </c>
      <c r="H5" s="232"/>
      <c r="I5" s="233"/>
      <c r="J5" s="56">
        <f>Расчет!C10</f>
        <v>0.5</v>
      </c>
      <c r="K5" s="56">
        <f>Расчет!C10</f>
        <v>0.5</v>
      </c>
      <c r="L5" s="65">
        <f>Расчет!C10</f>
        <v>0.5</v>
      </c>
      <c r="M5" s="56">
        <f>Расчет!C10</f>
        <v>0.5</v>
      </c>
      <c r="N5" s="56">
        <f>Расчет!C10</f>
        <v>0.5</v>
      </c>
      <c r="O5" s="36" t="s">
        <v>29</v>
      </c>
      <c r="P5" s="28" t="s">
        <v>30</v>
      </c>
    </row>
    <row r="6" spans="1:26" ht="15" hidden="1" customHeight="1" x14ac:dyDescent="0.25">
      <c r="B6" s="28"/>
      <c r="C6" s="28"/>
      <c r="D6" s="28"/>
      <c r="E6" s="28"/>
      <c r="F6" s="40"/>
      <c r="G6" s="44" t="s">
        <v>94</v>
      </c>
      <c r="H6" s="28" t="s">
        <v>95</v>
      </c>
      <c r="I6" s="45" t="s">
        <v>96</v>
      </c>
      <c r="J6" s="44"/>
      <c r="K6" s="44"/>
      <c r="L6" s="35" t="s">
        <v>99</v>
      </c>
      <c r="M6" s="87" t="s">
        <v>24</v>
      </c>
      <c r="N6" s="87"/>
      <c r="O6" s="36"/>
      <c r="P6" s="28"/>
    </row>
    <row r="7" spans="1:26" ht="24" hidden="1" customHeight="1" x14ac:dyDescent="0.25">
      <c r="A7" s="246" t="s">
        <v>87</v>
      </c>
      <c r="B7" s="29" t="s">
        <v>132</v>
      </c>
      <c r="C7" s="30">
        <v>16</v>
      </c>
      <c r="D7" s="30">
        <v>39.700000000000003</v>
      </c>
      <c r="E7" s="30" t="s">
        <v>72</v>
      </c>
      <c r="F7" s="41" t="s">
        <v>74</v>
      </c>
      <c r="G7" s="46">
        <v>0.53</v>
      </c>
      <c r="H7" s="30">
        <v>0.05</v>
      </c>
      <c r="I7" s="47">
        <v>7.0000000000000007E-2</v>
      </c>
      <c r="J7" s="46">
        <f t="shared" ref="J7:J12" si="0">K7*$P7</f>
        <v>12140</v>
      </c>
      <c r="K7" s="46">
        <f>IF(ROUND((Расчет!$E$6/'Лист 3'!L7),0)=0,1,CEILING((Расчет!$E$6/'Лист 3'!L7),1))*IF(ROUND((Расчет!$F$6/M7),0)=0,1,CEILING((Расчет!$F$6/M7),1))*IF(ROUND((Расчет!$D$6/N7),0)=0,1,CEILING((Расчет!$D$6/N7),1))</f>
        <v>4</v>
      </c>
      <c r="L7" s="43">
        <f t="shared" ref="L7:L12" si="1">ROUND(((L$5*TAN(3.14*2*$C$45/720))*2+$G7),1)</f>
        <v>1.4</v>
      </c>
      <c r="M7" s="46">
        <f t="shared" ref="M7:M12" si="2">ROUND(((M$5*TAN(3.14*2*$C$45/720))*2),1)</f>
        <v>0.8</v>
      </c>
      <c r="N7" s="46">
        <f t="shared" ref="N7:N12" si="3">$D7/(M7*L7)</f>
        <v>35.446428571428577</v>
      </c>
      <c r="O7" s="134">
        <v>0.8</v>
      </c>
      <c r="P7" s="164">
        <v>3035</v>
      </c>
    </row>
    <row r="8" spans="1:26" ht="24" hidden="1" customHeight="1" x14ac:dyDescent="0.25">
      <c r="A8" s="246"/>
      <c r="B8" s="29" t="s">
        <v>71</v>
      </c>
      <c r="C8" s="30">
        <v>24</v>
      </c>
      <c r="D8" s="30">
        <v>52.8</v>
      </c>
      <c r="E8" s="30" t="s">
        <v>72</v>
      </c>
      <c r="F8" s="41" t="s">
        <v>32</v>
      </c>
      <c r="G8" s="46">
        <v>0.63</v>
      </c>
      <c r="H8" s="30">
        <v>0.05</v>
      </c>
      <c r="I8" s="47">
        <v>7.0000000000000007E-2</v>
      </c>
      <c r="J8" s="46">
        <f t="shared" si="0"/>
        <v>16700</v>
      </c>
      <c r="K8" s="46">
        <f>IF(ROUND((Расчет!$E$6/'Лист 3'!L8),0)=0,1,CEILING((Расчет!$E$6/'Лист 3'!L8),1))*IF(ROUND((Расчет!$F$6/M8),0)=0,1,CEILING((Расчет!$F$6/M8),1))*IF(ROUND((Расчет!$D$6/N8),0)=0,1,CEILING((Расчет!$D$6/N8),1))</f>
        <v>4</v>
      </c>
      <c r="L8" s="134">
        <f t="shared" si="1"/>
        <v>1.5</v>
      </c>
      <c r="M8" s="46">
        <f t="shared" si="2"/>
        <v>0.8</v>
      </c>
      <c r="N8" s="46">
        <f t="shared" si="3"/>
        <v>43.999999999999993</v>
      </c>
      <c r="O8" s="134">
        <v>0.9</v>
      </c>
      <c r="P8" s="164">
        <v>4175</v>
      </c>
    </row>
    <row r="9" spans="1:26" ht="24" hidden="1" customHeight="1" x14ac:dyDescent="0.25">
      <c r="A9" s="246"/>
      <c r="B9" s="32" t="s">
        <v>73</v>
      </c>
      <c r="C9" s="33">
        <v>32</v>
      </c>
      <c r="D9" s="33">
        <v>79.3</v>
      </c>
      <c r="E9" s="33" t="s">
        <v>72</v>
      </c>
      <c r="F9" s="41" t="s">
        <v>74</v>
      </c>
      <c r="G9" s="48">
        <v>0.49</v>
      </c>
      <c r="H9" s="30">
        <v>0.05</v>
      </c>
      <c r="I9" s="47">
        <v>7.0000000000000007E-2</v>
      </c>
      <c r="J9" s="46">
        <f t="shared" si="0"/>
        <v>9878</v>
      </c>
      <c r="K9" s="46">
        <f>IF(ROUND((Расчет!$E$6/'Лист 3'!L9),0)=0,1,CEILING((Расчет!$E$6/'Лист 3'!L9),1))*IF(ROUND((Расчет!$F$6/M9),0)=0,1,CEILING((Расчет!$F$6/M9),1))*IF(ROUND((Расчет!$D$6/N9),0)=0,1,CEILING((Расчет!$D$6/N9),1))</f>
        <v>2</v>
      </c>
      <c r="L9" s="43">
        <f t="shared" si="1"/>
        <v>1.3</v>
      </c>
      <c r="M9" s="46">
        <f t="shared" si="2"/>
        <v>0.8</v>
      </c>
      <c r="N9" s="46">
        <f t="shared" si="3"/>
        <v>76.25</v>
      </c>
      <c r="O9" s="54">
        <v>0.8</v>
      </c>
      <c r="P9" s="165">
        <v>4939</v>
      </c>
    </row>
    <row r="10" spans="1:26" ht="24" hidden="1" customHeight="1" x14ac:dyDescent="0.25">
      <c r="A10" s="246"/>
      <c r="B10" s="29" t="s">
        <v>76</v>
      </c>
      <c r="C10" s="30">
        <v>48</v>
      </c>
      <c r="D10" s="30">
        <v>105.7</v>
      </c>
      <c r="E10" s="30" t="s">
        <v>72</v>
      </c>
      <c r="F10" s="41" t="s">
        <v>35</v>
      </c>
      <c r="G10" s="46">
        <v>0.63</v>
      </c>
      <c r="H10" s="30">
        <v>0.05</v>
      </c>
      <c r="I10" s="47">
        <v>7.0000000000000007E-2</v>
      </c>
      <c r="J10" s="46">
        <f t="shared" si="0"/>
        <v>12078</v>
      </c>
      <c r="K10" s="46">
        <f>IF(ROUND((Расчет!$E$6/'Лист 3'!L10),0)=0,1,CEILING((Расчет!$E$6/'Лист 3'!L10),1))*IF(ROUND((Расчет!$F$6/M10),0)=0,1,CEILING((Расчет!$F$6/M10),1))*IF(ROUND((Расчет!$D$6/N10),0)=0,1,CEILING((Расчет!$D$6/N10),1))</f>
        <v>2</v>
      </c>
      <c r="L10" s="43">
        <f t="shared" si="1"/>
        <v>1.5</v>
      </c>
      <c r="M10" s="46">
        <f t="shared" si="2"/>
        <v>0.8</v>
      </c>
      <c r="N10" s="46">
        <f t="shared" si="3"/>
        <v>88.083333333333329</v>
      </c>
      <c r="O10" s="134">
        <v>0.9</v>
      </c>
      <c r="P10" s="164">
        <v>6039</v>
      </c>
    </row>
    <row r="11" spans="1:26" ht="24" hidden="1" customHeight="1" x14ac:dyDescent="0.25">
      <c r="A11" s="246"/>
      <c r="B11" s="32" t="s">
        <v>77</v>
      </c>
      <c r="C11" s="33">
        <v>56</v>
      </c>
      <c r="D11" s="33">
        <v>132.1</v>
      </c>
      <c r="E11" s="33" t="s">
        <v>72</v>
      </c>
      <c r="F11" s="41" t="s">
        <v>39</v>
      </c>
      <c r="G11" s="48">
        <v>0.77</v>
      </c>
      <c r="H11" s="30">
        <v>0.05</v>
      </c>
      <c r="I11" s="47">
        <v>7.0000000000000007E-2</v>
      </c>
      <c r="J11" s="46">
        <f t="shared" si="0"/>
        <v>14498</v>
      </c>
      <c r="K11" s="46">
        <f>IF(ROUND((Расчет!$E$6/'Лист 3'!L11),0)=0,1,CEILING((Расчет!$E$6/'Лист 3'!L11),1))*IF(ROUND((Расчет!$F$6/M11),0)=0,1,CEILING((Расчет!$F$6/M11),1))*IF(ROUND((Расчет!$D$6/N11),0)=0,1,CEILING((Расчет!$D$6/N11),1))</f>
        <v>2</v>
      </c>
      <c r="L11" s="43">
        <f t="shared" si="1"/>
        <v>1.6</v>
      </c>
      <c r="M11" s="46">
        <f t="shared" si="2"/>
        <v>0.8</v>
      </c>
      <c r="N11" s="46">
        <f t="shared" si="3"/>
        <v>103.20312499999997</v>
      </c>
      <c r="O11" s="54">
        <v>1.1000000000000001</v>
      </c>
      <c r="P11" s="165">
        <v>7249</v>
      </c>
    </row>
    <row r="12" spans="1:26" ht="24" hidden="1" customHeight="1" thickBot="1" x14ac:dyDescent="0.3">
      <c r="A12" s="246"/>
      <c r="B12" s="29" t="s">
        <v>78</v>
      </c>
      <c r="C12" s="30">
        <v>96</v>
      </c>
      <c r="D12" s="30">
        <v>211.4</v>
      </c>
      <c r="E12" s="30" t="s">
        <v>72</v>
      </c>
      <c r="F12" s="41" t="s">
        <v>43</v>
      </c>
      <c r="G12" s="46">
        <v>1.3</v>
      </c>
      <c r="H12" s="30">
        <v>0.05</v>
      </c>
      <c r="I12" s="47">
        <v>7.0000000000000007E-2</v>
      </c>
      <c r="J12" s="73">
        <f t="shared" si="0"/>
        <v>11759</v>
      </c>
      <c r="K12" s="46">
        <f>IF(ROUND((Расчет!$E$6/'Лист 3'!L12),0)=0,1,CEILING((Расчет!$E$6/'Лист 3'!L12),1))*IF(ROUND((Расчет!$F$6/M12),0)=0,1,CEILING((Расчет!$F$6/M12),1))*IF(ROUND((Расчет!$D$6/N12),0)=0,1,CEILING((Расчет!$D$6/N12),1))</f>
        <v>1</v>
      </c>
      <c r="L12" s="43">
        <f t="shared" si="1"/>
        <v>2.1</v>
      </c>
      <c r="M12" s="46">
        <f t="shared" si="2"/>
        <v>0.8</v>
      </c>
      <c r="N12" s="46">
        <f t="shared" si="3"/>
        <v>125.83333333333333</v>
      </c>
      <c r="O12" s="134">
        <v>1.8</v>
      </c>
      <c r="P12" s="164">
        <v>11759</v>
      </c>
    </row>
    <row r="13" spans="1:26" ht="24" hidden="1" customHeight="1" thickBot="1" x14ac:dyDescent="0.3">
      <c r="B13" s="21"/>
      <c r="C13" s="21"/>
      <c r="D13" s="21"/>
      <c r="E13" s="21"/>
      <c r="F13" s="42"/>
      <c r="G13" s="49"/>
      <c r="H13" s="30"/>
      <c r="I13" s="47"/>
      <c r="J13" s="79">
        <f>MIN(J7:J12)</f>
        <v>9878</v>
      </c>
      <c r="K13" s="79">
        <f>MIN(K7:K12)</f>
        <v>1</v>
      </c>
      <c r="L13" s="43"/>
      <c r="M13" s="46"/>
      <c r="N13" s="46"/>
      <c r="O13" s="55"/>
      <c r="P13" s="166"/>
    </row>
    <row r="14" spans="1:26" ht="24" hidden="1" customHeight="1" x14ac:dyDescent="0.25">
      <c r="A14" s="246" t="s">
        <v>89</v>
      </c>
      <c r="B14" s="29" t="s">
        <v>133</v>
      </c>
      <c r="C14" s="30">
        <v>24</v>
      </c>
      <c r="D14" s="30">
        <v>53</v>
      </c>
      <c r="E14" s="30" t="s">
        <v>82</v>
      </c>
      <c r="F14" s="41" t="s">
        <v>74</v>
      </c>
      <c r="G14" s="46">
        <v>0.63</v>
      </c>
      <c r="H14" s="30">
        <v>0.05</v>
      </c>
      <c r="I14" s="47">
        <v>7.0000000000000007E-2</v>
      </c>
      <c r="J14" s="76">
        <f t="shared" ref="J14:J19" si="4">K14*$P14</f>
        <v>16700</v>
      </c>
      <c r="K14" s="46">
        <f>IF(ROUND((Расчет!$E$6/'Лист 3'!L14),0)=0,1,CEILING((Расчет!$E$6/'Лист 3'!L14),1))*IF(ROUND((Расчет!$F$6/M14),0)=0,1,CEILING((Расчет!$F$6/M14),1))*IF(ROUND((Расчет!$D$6/N14),0)=0,1,CEILING((Расчет!$D$6/N14),1))</f>
        <v>4</v>
      </c>
      <c r="L14" s="43">
        <f t="shared" ref="L14:L19" si="5">ROUND(((L$5*TAN(3.14*2*$C$45/720))*2+$G14),1)</f>
        <v>1.5</v>
      </c>
      <c r="M14" s="46">
        <f t="shared" ref="M14:M19" si="6">ROUND(((M$5*TAN(3.14*2*$C$45/720))*2),1)</f>
        <v>0.8</v>
      </c>
      <c r="N14" s="46">
        <f t="shared" ref="N14:N19" si="7">$D14/(M14*L14)</f>
        <v>44.166666666666657</v>
      </c>
      <c r="O14" s="134">
        <v>0.9</v>
      </c>
      <c r="P14" s="164">
        <v>4175</v>
      </c>
    </row>
    <row r="15" spans="1:26" ht="24" hidden="1" customHeight="1" x14ac:dyDescent="0.25">
      <c r="A15" s="246"/>
      <c r="B15" s="29" t="s">
        <v>79</v>
      </c>
      <c r="C15" s="30">
        <v>32</v>
      </c>
      <c r="D15" s="30">
        <v>79.400000000000006</v>
      </c>
      <c r="E15" s="30" t="s">
        <v>80</v>
      </c>
      <c r="F15" s="41" t="s">
        <v>74</v>
      </c>
      <c r="G15" s="46">
        <v>0.49</v>
      </c>
      <c r="H15" s="30">
        <v>0.05</v>
      </c>
      <c r="I15" s="47">
        <v>7.0000000000000007E-2</v>
      </c>
      <c r="J15" s="76">
        <f t="shared" si="4"/>
        <v>9878</v>
      </c>
      <c r="K15" s="46">
        <f>IF(ROUND((Расчет!$E$6/'Лист 3'!L15),0)=0,1,CEILING((Расчет!$E$6/'Лист 3'!L15),1))*IF(ROUND((Расчет!$F$6/M15),0)=0,1,CEILING((Расчет!$F$6/M15),1))*IF(ROUND((Расчет!$D$6/N15),0)=0,1,CEILING((Расчет!$D$6/N15),1))</f>
        <v>2</v>
      </c>
      <c r="L15" s="134">
        <f t="shared" si="5"/>
        <v>1.3</v>
      </c>
      <c r="M15" s="46">
        <f t="shared" si="6"/>
        <v>0.8</v>
      </c>
      <c r="N15" s="46">
        <f t="shared" si="7"/>
        <v>76.346153846153854</v>
      </c>
      <c r="O15" s="134">
        <v>0.8</v>
      </c>
      <c r="P15" s="164">
        <v>4939</v>
      </c>
    </row>
    <row r="16" spans="1:26" ht="24" hidden="1" customHeight="1" x14ac:dyDescent="0.25">
      <c r="A16" s="246"/>
      <c r="B16" s="32" t="s">
        <v>81</v>
      </c>
      <c r="C16" s="33">
        <v>48</v>
      </c>
      <c r="D16" s="33">
        <v>105.9</v>
      </c>
      <c r="E16" s="33" t="s">
        <v>82</v>
      </c>
      <c r="F16" s="41" t="s">
        <v>35</v>
      </c>
      <c r="G16" s="48">
        <v>0.63</v>
      </c>
      <c r="H16" s="30">
        <v>0.05</v>
      </c>
      <c r="I16" s="47">
        <v>7.0000000000000007E-2</v>
      </c>
      <c r="J16" s="46">
        <f t="shared" si="4"/>
        <v>12078</v>
      </c>
      <c r="K16" s="46">
        <f>IF(ROUND((Расчет!$E$6/'Лист 3'!L16),0)=0,1,CEILING((Расчет!$E$6/'Лист 3'!L16),1))*IF(ROUND((Расчет!$F$6/M16),0)=0,1,CEILING((Расчет!$F$6/M16),1))*IF(ROUND((Расчет!$D$6/N16),0)=0,1,CEILING((Расчет!$D$6/N16),1))</f>
        <v>2</v>
      </c>
      <c r="L16" s="43">
        <f t="shared" si="5"/>
        <v>1.5</v>
      </c>
      <c r="M16" s="46">
        <f t="shared" si="6"/>
        <v>0.8</v>
      </c>
      <c r="N16" s="46">
        <f t="shared" si="7"/>
        <v>88.249999999999986</v>
      </c>
      <c r="O16" s="54">
        <v>0.9</v>
      </c>
      <c r="P16" s="165">
        <v>6039</v>
      </c>
    </row>
    <row r="17" spans="1:22" ht="24" hidden="1" customHeight="1" x14ac:dyDescent="0.25">
      <c r="A17" s="246"/>
      <c r="B17" s="29" t="s">
        <v>83</v>
      </c>
      <c r="C17" s="30">
        <v>56</v>
      </c>
      <c r="D17" s="30">
        <v>132.30000000000001</v>
      </c>
      <c r="E17" s="30" t="s">
        <v>84</v>
      </c>
      <c r="F17" s="41" t="s">
        <v>39</v>
      </c>
      <c r="G17" s="46">
        <v>0.77</v>
      </c>
      <c r="H17" s="30">
        <v>0.05</v>
      </c>
      <c r="I17" s="47">
        <v>7.0000000000000007E-2</v>
      </c>
      <c r="J17" s="46">
        <f t="shared" si="4"/>
        <v>14498</v>
      </c>
      <c r="K17" s="46">
        <f>IF(ROUND((Расчет!$E$6/'Лист 3'!L17),0)=0,1,CEILING((Расчет!$E$6/'Лист 3'!L17),1))*IF(ROUND((Расчет!$F$6/M17),0)=0,1,CEILING((Расчет!$F$6/M17),1))*IF(ROUND((Расчет!$D$6/N17),0)=0,1,CEILING((Расчет!$D$6/N17),1))</f>
        <v>2</v>
      </c>
      <c r="L17" s="43">
        <f t="shared" si="5"/>
        <v>1.6</v>
      </c>
      <c r="M17" s="46">
        <f t="shared" si="6"/>
        <v>0.8</v>
      </c>
      <c r="N17" s="46">
        <f t="shared" si="7"/>
        <v>103.35937499999999</v>
      </c>
      <c r="O17" s="134">
        <v>1.1000000000000001</v>
      </c>
      <c r="P17" s="164">
        <v>7249</v>
      </c>
    </row>
    <row r="18" spans="1:22" ht="24" hidden="1" customHeight="1" x14ac:dyDescent="0.25">
      <c r="A18" s="246"/>
      <c r="B18" s="32" t="s">
        <v>85</v>
      </c>
      <c r="C18" s="33">
        <v>64</v>
      </c>
      <c r="D18" s="33">
        <v>158.9</v>
      </c>
      <c r="E18" s="33" t="s">
        <v>80</v>
      </c>
      <c r="F18" s="41" t="s">
        <v>41</v>
      </c>
      <c r="G18" s="48">
        <v>0.91</v>
      </c>
      <c r="H18" s="30">
        <v>0.05</v>
      </c>
      <c r="I18" s="47">
        <v>7.0000000000000007E-2</v>
      </c>
      <c r="J18" s="46">
        <f t="shared" si="4"/>
        <v>16698</v>
      </c>
      <c r="K18" s="46">
        <f>IF(ROUND((Расчет!$E$6/'Лист 3'!L18),0)=0,1,CEILING((Расчет!$E$6/'Лист 3'!L18),1))*IF(ROUND((Расчет!$F$6/M18),0)=0,1,CEILING((Расчет!$F$6/M18),1))*IF(ROUND((Расчет!$D$6/N18),0)=0,1,CEILING((Расчет!$D$6/N18),1))</f>
        <v>2</v>
      </c>
      <c r="L18" s="43">
        <f t="shared" si="5"/>
        <v>1.7</v>
      </c>
      <c r="M18" s="46">
        <f t="shared" si="6"/>
        <v>0.8</v>
      </c>
      <c r="N18" s="46">
        <f t="shared" si="7"/>
        <v>116.83823529411764</v>
      </c>
      <c r="O18" s="54">
        <v>1.3</v>
      </c>
      <c r="P18" s="165">
        <v>8349</v>
      </c>
    </row>
    <row r="19" spans="1:22" ht="24" hidden="1" customHeight="1" thickBot="1" x14ac:dyDescent="0.3">
      <c r="A19" s="246"/>
      <c r="B19" s="29" t="s">
        <v>86</v>
      </c>
      <c r="C19" s="30">
        <v>96</v>
      </c>
      <c r="D19" s="30">
        <v>211.7</v>
      </c>
      <c r="E19" s="30" t="s">
        <v>82</v>
      </c>
      <c r="F19" s="41" t="s">
        <v>43</v>
      </c>
      <c r="G19" s="46">
        <v>1.3</v>
      </c>
      <c r="H19" s="30">
        <v>0.05</v>
      </c>
      <c r="I19" s="47">
        <v>7.0000000000000007E-2</v>
      </c>
      <c r="J19" s="46">
        <f t="shared" si="4"/>
        <v>11759</v>
      </c>
      <c r="K19" s="46">
        <f>IF(ROUND((Расчет!$E$6/'Лист 3'!L19),0)=0,1,CEILING((Расчет!$E$6/'Лист 3'!L19),1))*IF(ROUND((Расчет!$F$6/M19),0)=0,1,CEILING((Расчет!$F$6/M19),1))*IF(ROUND((Расчет!$D$6/N19),0)=0,1,CEILING((Расчет!$D$6/N19),1))</f>
        <v>1</v>
      </c>
      <c r="L19" s="43">
        <f t="shared" si="5"/>
        <v>2.1</v>
      </c>
      <c r="M19" s="46">
        <f t="shared" si="6"/>
        <v>0.8</v>
      </c>
      <c r="N19" s="46">
        <f t="shared" si="7"/>
        <v>126.01190476190474</v>
      </c>
      <c r="O19" s="134">
        <v>1.8</v>
      </c>
      <c r="P19" s="164">
        <v>11759</v>
      </c>
    </row>
    <row r="20" spans="1:22" ht="24" hidden="1" customHeight="1" thickBot="1" x14ac:dyDescent="0.3">
      <c r="B20" s="21"/>
      <c r="C20" s="21"/>
      <c r="D20" s="21"/>
      <c r="E20" s="21"/>
      <c r="F20" s="42"/>
      <c r="G20" s="49"/>
      <c r="H20" s="30"/>
      <c r="I20" s="47"/>
      <c r="J20" s="79">
        <f>MIN(J14:J19)</f>
        <v>9878</v>
      </c>
      <c r="K20" s="46"/>
      <c r="L20" s="43"/>
      <c r="M20" s="46"/>
      <c r="N20" s="46"/>
      <c r="O20" s="55"/>
      <c r="P20" s="166"/>
    </row>
    <row r="21" spans="1:22" ht="24" hidden="1" customHeight="1" x14ac:dyDescent="0.25">
      <c r="A21" s="246" t="s">
        <v>88</v>
      </c>
      <c r="B21" s="32" t="s">
        <v>34</v>
      </c>
      <c r="C21" s="33">
        <v>48</v>
      </c>
      <c r="D21" s="33">
        <v>106.1</v>
      </c>
      <c r="E21" s="33" t="s">
        <v>31</v>
      </c>
      <c r="F21" s="41" t="s">
        <v>35</v>
      </c>
      <c r="G21" s="48">
        <v>0.63</v>
      </c>
      <c r="H21" s="30">
        <v>0.05</v>
      </c>
      <c r="I21" s="47">
        <v>7.0000000000000007E-2</v>
      </c>
      <c r="J21" s="46">
        <f>K21*$P21</f>
        <v>12078</v>
      </c>
      <c r="K21" s="46">
        <f>IF(ROUND((Расчет!$E$6/'Лист 3'!L21),0)=0,1,CEILING((Расчет!$E$6/'Лист 3'!L21),1))*IF(ROUND((Расчет!$F$6/M21),0)=0,1,CEILING((Расчет!$F$6/M21),1))*IF(ROUND((Расчет!$D$6/N21),0)=0,1,CEILING((Расчет!$D$6/N21),1))</f>
        <v>2</v>
      </c>
      <c r="L21" s="43">
        <f>ROUND(((L$5*TAN(3.14*2*$C$45/720))*2+$G21),1)</f>
        <v>1.5</v>
      </c>
      <c r="M21" s="46">
        <f>ROUND(((M$5*TAN(3.14*2*$C$45/720))*2),1)</f>
        <v>0.8</v>
      </c>
      <c r="N21" s="46">
        <f>$D21/(M21*L21)</f>
        <v>88.416666666666643</v>
      </c>
      <c r="O21" s="54">
        <v>0.9</v>
      </c>
      <c r="P21" s="165">
        <v>6039</v>
      </c>
    </row>
    <row r="22" spans="1:22" ht="24" hidden="1" customHeight="1" x14ac:dyDescent="0.25">
      <c r="A22" s="246"/>
      <c r="B22" s="29" t="s">
        <v>37</v>
      </c>
      <c r="C22" s="30">
        <v>56</v>
      </c>
      <c r="D22" s="30">
        <v>132.5</v>
      </c>
      <c r="E22" s="30" t="s">
        <v>38</v>
      </c>
      <c r="F22" s="41" t="s">
        <v>39</v>
      </c>
      <c r="G22" s="46">
        <v>0.77</v>
      </c>
      <c r="H22" s="30">
        <v>0.05</v>
      </c>
      <c r="I22" s="47">
        <v>7.0000000000000007E-2</v>
      </c>
      <c r="J22" s="46">
        <f>K22*$P22</f>
        <v>14498</v>
      </c>
      <c r="K22" s="46">
        <f>IF(ROUND((Расчет!$E$6/'Лист 3'!L22),0)=0,1,CEILING((Расчет!$E$6/'Лист 3'!L22),1))*IF(ROUND((Расчет!$F$6/M22),0)=0,1,CEILING((Расчет!$F$6/M22),1))*IF(ROUND((Расчет!$D$6/N22),0)=0,1,CEILING((Расчет!$D$6/N22),1))</f>
        <v>2</v>
      </c>
      <c r="L22" s="43">
        <f>ROUND(((L$5*TAN(3.14*2*$C$45/720))*2+$G22),1)</f>
        <v>1.6</v>
      </c>
      <c r="M22" s="46">
        <f>ROUND(((M$5*TAN(3.14*2*$C$45/720))*2),1)</f>
        <v>0.8</v>
      </c>
      <c r="N22" s="46">
        <f>$D22/(M22*L22)</f>
        <v>103.51562499999999</v>
      </c>
      <c r="O22" s="134">
        <v>1.1000000000000001</v>
      </c>
      <c r="P22" s="164">
        <v>7249</v>
      </c>
    </row>
    <row r="23" spans="1:22" ht="24" hidden="1" customHeight="1" x14ac:dyDescent="0.25">
      <c r="A23" s="246"/>
      <c r="B23" s="32" t="s">
        <v>40</v>
      </c>
      <c r="C23" s="33">
        <v>64</v>
      </c>
      <c r="D23" s="33">
        <v>159.1</v>
      </c>
      <c r="E23" s="33" t="s">
        <v>31</v>
      </c>
      <c r="F23" s="41" t="s">
        <v>41</v>
      </c>
      <c r="G23" s="48">
        <v>0.91</v>
      </c>
      <c r="H23" s="30">
        <v>0.05</v>
      </c>
      <c r="I23" s="47">
        <v>7.0000000000000007E-2</v>
      </c>
      <c r="J23" s="46">
        <f>K23*$P23</f>
        <v>15180</v>
      </c>
      <c r="K23" s="46">
        <f>IF(ROUND((Расчет!$E$6/'Лист 3'!L23),0)=0,1,CEILING((Расчет!$E$6/'Лист 3'!L23),1))*IF(ROUND((Расчет!$F$6/M23),0)=0,1,CEILING((Расчет!$F$6/M23),1))*IF(ROUND((Расчет!$D$6/N23),0)=0,1,CEILING((Расчет!$D$6/N23),1))</f>
        <v>2</v>
      </c>
      <c r="L23" s="43">
        <f>ROUND(((L$5*TAN(3.14*2*$C$45/720))*2+$G23),1)</f>
        <v>1.7</v>
      </c>
      <c r="M23" s="46">
        <f>ROUND(((M$5*TAN(3.14*2*$C$45/720))*2),1)</f>
        <v>0.8</v>
      </c>
      <c r="N23" s="46">
        <f>$D23/(M23*L23)</f>
        <v>116.98529411764704</v>
      </c>
      <c r="O23" s="54">
        <v>1.3</v>
      </c>
      <c r="P23" s="165">
        <v>7590</v>
      </c>
    </row>
    <row r="24" spans="1:22" ht="24" hidden="1" customHeight="1" thickBot="1" x14ac:dyDescent="0.3">
      <c r="A24" s="246"/>
      <c r="B24" s="29" t="s">
        <v>42</v>
      </c>
      <c r="C24" s="30">
        <v>96</v>
      </c>
      <c r="D24" s="30">
        <v>212.1</v>
      </c>
      <c r="E24" s="30" t="s">
        <v>31</v>
      </c>
      <c r="F24" s="41" t="s">
        <v>43</v>
      </c>
      <c r="G24" s="50">
        <v>1.3</v>
      </c>
      <c r="H24" s="30">
        <v>0.05</v>
      </c>
      <c r="I24" s="47">
        <v>7.0000000000000007E-2</v>
      </c>
      <c r="J24" s="50">
        <f>K24*$P24</f>
        <v>11759</v>
      </c>
      <c r="K24" s="46">
        <f>IF(ROUND((Расчет!$E$6/'Лист 3'!L24),0)=0,1,CEILING((Расчет!$E$6/'Лист 3'!L24),1))*IF(ROUND((Расчет!$F$6/M24),0)=0,1,CEILING((Расчет!$F$6/M24),1))*IF(ROUND((Расчет!$D$6/N24),0)=0,1,CEILING((Расчет!$D$6/N24),1))</f>
        <v>1</v>
      </c>
      <c r="L24" s="66">
        <f>ROUND(((L$5*TAN(3.14*2*$C$45/720))*2+$G24),1)</f>
        <v>2.1</v>
      </c>
      <c r="M24" s="50">
        <f>ROUND(((M$5*TAN(3.14*2*$C$45/720))*2),1)</f>
        <v>0.8</v>
      </c>
      <c r="N24" s="50">
        <f>$D24/(M24*L24)</f>
        <v>126.24999999999999</v>
      </c>
      <c r="O24" s="134">
        <v>1.8</v>
      </c>
      <c r="P24" s="164">
        <v>11759</v>
      </c>
    </row>
    <row r="25" spans="1:22" ht="55.5" hidden="1" customHeight="1" thickBot="1" x14ac:dyDescent="0.3">
      <c r="J25" s="79">
        <f>MIN(J21:J24)</f>
        <v>11759</v>
      </c>
      <c r="M25" s="82">
        <v>10</v>
      </c>
      <c r="N25" s="247">
        <f>MIN(J6:J7:J12)</f>
        <v>9878</v>
      </c>
      <c r="O25" s="245"/>
      <c r="P25" s="81">
        <f>M26</f>
        <v>9</v>
      </c>
      <c r="Q25" t="s">
        <v>105</v>
      </c>
      <c r="R25" s="81">
        <f ca="1">INDIRECT(ADDRESS(P25,3))</f>
        <v>32</v>
      </c>
      <c r="S25" s="81">
        <f ca="1">IF(J37=A$7,R25,0)+IF(J37=A$14,R27,0)+IF(J37=A21,R29,0)</f>
        <v>32</v>
      </c>
      <c r="T25" s="70" t="str">
        <f ca="1">(CONCATENATE("SSO-220/",TEXT(S25,0),"-05.2",Расчет!L6))</f>
        <v>SSO-220/32-05.2(FGO-UP) ФИТО-Оптима</v>
      </c>
      <c r="U25" s="81">
        <f ca="1">IF(J37=A7,N25,0)+IF(J37=A14,N27,0)+IF(J37=A21,N29,0)</f>
        <v>9878</v>
      </c>
      <c r="V25" s="30" t="s">
        <v>107</v>
      </c>
    </row>
    <row r="26" spans="1:22" ht="43.5" hidden="1" thickBot="1" x14ac:dyDescent="0.3">
      <c r="J26" s="70"/>
      <c r="M26" s="69">
        <f>MATCH(N25,J7:J12,0)+6</f>
        <v>9</v>
      </c>
      <c r="N26" s="241"/>
      <c r="O26" s="244"/>
      <c r="P26" s="30">
        <f>M25</f>
        <v>10</v>
      </c>
      <c r="Q26" t="s">
        <v>106</v>
      </c>
      <c r="R26" s="30">
        <f ca="1">INDIRECT(ADDRESS(5,P26))</f>
        <v>0.5</v>
      </c>
      <c r="S26" s="30">
        <f ca="1">IF(J37=A$7,R26,0)+IF(J37=A$14,R28,0)+IF(J37=A21,R30,0)</f>
        <v>0.5</v>
      </c>
      <c r="T26" s="30" t="s">
        <v>109</v>
      </c>
      <c r="U26" s="81">
        <f ca="1">IF(T$25=B7,P7,0)+IF(T$25=B8,P8,0)+IF(T$25=B9,P9,0)+IF(T$25=B10,P10,0)+IF(T$25=B11,P11,0)+IF(T$25=B12,P12,0)+IF(T$25=B14,P14,0)+IF(T$25=B15,P15,0)+IF(T$25=B16,P16,0)+IF(T$25=B17,P17,0)+IF(T$25=B18,P18,0)+IF(T$25=B19,P19,0)+IF(T$25=B21,P21,0)+IF(T$25=B22,P22,0)+IF(T$25=B23,P23,0)+IF(T$25=B24,P24,0)</f>
        <v>4939</v>
      </c>
      <c r="V26" s="30" t="s">
        <v>114</v>
      </c>
    </row>
    <row r="27" spans="1:22" ht="57" hidden="1" x14ac:dyDescent="0.25">
      <c r="J27" s="70"/>
      <c r="M27" s="82">
        <v>10</v>
      </c>
      <c r="N27" s="241">
        <f>MIN(J14:J19)</f>
        <v>9878</v>
      </c>
      <c r="O27" s="243"/>
      <c r="P27" s="30">
        <f>M28</f>
        <v>15</v>
      </c>
      <c r="Q27" t="s">
        <v>105</v>
      </c>
      <c r="R27" s="30">
        <f ca="1">INDIRECT(ADDRESS(P27,3))</f>
        <v>32</v>
      </c>
      <c r="U27" s="81">
        <f ca="1">U25/U26</f>
        <v>2</v>
      </c>
      <c r="V27" s="30" t="s">
        <v>103</v>
      </c>
    </row>
    <row r="28" spans="1:22" ht="15.75" hidden="1" thickBot="1" x14ac:dyDescent="0.3">
      <c r="J28" s="70"/>
      <c r="M28" s="69">
        <f>MATCH(N27,J14:J19,0)+13</f>
        <v>15</v>
      </c>
      <c r="N28" s="241"/>
      <c r="O28" s="244"/>
      <c r="P28" s="30">
        <f>M27</f>
        <v>10</v>
      </c>
      <c r="Q28" t="s">
        <v>106</v>
      </c>
      <c r="R28" s="30">
        <f ca="1">INDIRECT(ADDRESS(5,P28))</f>
        <v>0.5</v>
      </c>
    </row>
    <row r="29" spans="1:22" hidden="1" x14ac:dyDescent="0.25">
      <c r="J29" s="70"/>
      <c r="M29" s="82">
        <v>10</v>
      </c>
      <c r="N29" s="241">
        <f>MIN(J21:J24)</f>
        <v>11759</v>
      </c>
      <c r="O29" s="242"/>
      <c r="P29" s="30">
        <f>M30</f>
        <v>24</v>
      </c>
      <c r="Q29" t="s">
        <v>105</v>
      </c>
      <c r="R29" s="30">
        <f ca="1">INDIRECT(ADDRESS(P29,3))</f>
        <v>96</v>
      </c>
    </row>
    <row r="30" spans="1:22" ht="15.75" hidden="1" thickBot="1" x14ac:dyDescent="0.3">
      <c r="J30" s="70"/>
      <c r="M30" s="69">
        <f>MATCH(N29,J21:J24,0)+20</f>
        <v>24</v>
      </c>
      <c r="N30" s="241"/>
      <c r="O30" s="242"/>
      <c r="P30" s="30">
        <f>M29</f>
        <v>10</v>
      </c>
      <c r="Q30" t="s">
        <v>106</v>
      </c>
      <c r="R30" s="30">
        <f ca="1">INDIRECT(ADDRESS(5,P30))</f>
        <v>0.5</v>
      </c>
    </row>
    <row r="31" spans="1:22" hidden="1" x14ac:dyDescent="0.25">
      <c r="J31" s="70"/>
    </row>
    <row r="32" spans="1:22" hidden="1" x14ac:dyDescent="0.25">
      <c r="J32" s="70"/>
    </row>
    <row r="33" spans="3:19" hidden="1" x14ac:dyDescent="0.25">
      <c r="J33" s="70"/>
      <c r="R33" s="30">
        <f ca="1">INDIRECT(ADDRESS(P29,P30+12))</f>
        <v>0</v>
      </c>
      <c r="S33" s="30" t="s">
        <v>108</v>
      </c>
    </row>
    <row r="34" spans="3:19" ht="28.5" hidden="1" x14ac:dyDescent="0.25">
      <c r="J34" s="70"/>
      <c r="R34" s="30">
        <f ca="1">INDIRECT(ADDRESS(P29,P30))</f>
        <v>11759</v>
      </c>
      <c r="S34" s="30" t="s">
        <v>107</v>
      </c>
    </row>
    <row r="35" spans="3:19" hidden="1" x14ac:dyDescent="0.25">
      <c r="J35" s="70"/>
    </row>
    <row r="36" spans="3:19" hidden="1" x14ac:dyDescent="0.25"/>
    <row r="37" spans="3:19" hidden="1" x14ac:dyDescent="0.25">
      <c r="J37" s="111" t="str">
        <f ca="1">Расчет!L10</f>
        <v>(FGO-UP) ФИТО-Оптима</v>
      </c>
    </row>
    <row r="38" spans="3:19" hidden="1" x14ac:dyDescent="0.25"/>
    <row r="39" spans="3:19" hidden="1" x14ac:dyDescent="0.25"/>
    <row r="40" spans="3:19" hidden="1" x14ac:dyDescent="0.25"/>
    <row r="41" spans="3:19" hidden="1" x14ac:dyDescent="0.25"/>
    <row r="42" spans="3:19" hidden="1" x14ac:dyDescent="0.25">
      <c r="C42" s="229" t="s">
        <v>56</v>
      </c>
      <c r="D42" s="229"/>
      <c r="E42" s="229"/>
      <c r="F42" s="229"/>
      <c r="G42" s="229"/>
      <c r="H42" s="229"/>
      <c r="I42" s="17"/>
      <c r="J42" s="17"/>
    </row>
    <row r="43" spans="3:19" hidden="1" x14ac:dyDescent="0.25">
      <c r="C43" s="248" t="s">
        <v>57</v>
      </c>
      <c r="D43" s="248"/>
      <c r="E43" s="248"/>
      <c r="F43" s="248"/>
      <c r="G43" s="248"/>
      <c r="H43" s="248"/>
      <c r="I43" s="17"/>
      <c r="J43" s="17"/>
    </row>
    <row r="44" spans="3:19" ht="45" hidden="1" x14ac:dyDescent="0.25">
      <c r="C44" s="18" t="s">
        <v>58</v>
      </c>
      <c r="D44" s="18" t="s">
        <v>59</v>
      </c>
      <c r="E44" s="37" t="s">
        <v>60</v>
      </c>
      <c r="F44" s="18" t="s">
        <v>61</v>
      </c>
      <c r="G44" s="18" t="s">
        <v>62</v>
      </c>
      <c r="H44" s="18" t="s">
        <v>63</v>
      </c>
      <c r="I44" s="18" t="s">
        <v>64</v>
      </c>
      <c r="J44" s="18" t="s">
        <v>65</v>
      </c>
    </row>
    <row r="45" spans="3:19" hidden="1" x14ac:dyDescent="0.25">
      <c r="C45" s="18">
        <v>80</v>
      </c>
      <c r="D45" s="18">
        <v>0.6</v>
      </c>
      <c r="E45" s="37">
        <f>D45*TAN(3.14*2*C45/720)</f>
        <v>0.50309801650289465</v>
      </c>
      <c r="F45" s="18">
        <f>D45*TAN(3.14*2*C45/720)</f>
        <v>0.50309801650289465</v>
      </c>
      <c r="G45" s="18">
        <v>1.3</v>
      </c>
      <c r="H45" s="18">
        <f>F45*2</f>
        <v>1.0061960330057893</v>
      </c>
      <c r="I45" s="18">
        <f>F45*2+G45</f>
        <v>2.3061960330057891</v>
      </c>
      <c r="J45" s="18">
        <f>H45*I45</f>
        <v>2.3204852997441132</v>
      </c>
    </row>
    <row r="46" spans="3:19" hidden="1" x14ac:dyDescent="0.25"/>
    <row r="47" spans="3:19" hidden="1" x14ac:dyDescent="0.25"/>
    <row r="48" spans="3:1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</sheetData>
  <sheetProtection password="C7BD" sheet="1" objects="1" scenarios="1" selectLockedCells="1" selectUnlockedCells="1"/>
  <mergeCells count="13">
    <mergeCell ref="O25:O26"/>
    <mergeCell ref="N27:N28"/>
    <mergeCell ref="O27:O28"/>
    <mergeCell ref="N29:N30"/>
    <mergeCell ref="O29:O30"/>
    <mergeCell ref="C43:H43"/>
    <mergeCell ref="C42:H42"/>
    <mergeCell ref="N25:N26"/>
    <mergeCell ref="A21:A24"/>
    <mergeCell ref="L4:M4"/>
    <mergeCell ref="G5:I5"/>
    <mergeCell ref="A7:A12"/>
    <mergeCell ref="A14:A19"/>
  </mergeCells>
  <hyperlinks>
    <hyperlink ref="B7" r:id="rId1" display="https://zao-proton.ru/product/fitoled-svetilniki-serii-fgo-vp?shopSku_id=64"/>
    <hyperlink ref="B9" r:id="rId2" display="https://zao-proton.ru/product/fitoled-svetilniki-serii-fgo-vp?shopSku_id=65"/>
    <hyperlink ref="B10" r:id="rId3" display="https://zao-proton.ru/product/fitoled-svetilniki-serii-fgo-vp?shopSku_id=66"/>
    <hyperlink ref="B11" r:id="rId4" display="https://zao-proton.ru/product/fitoled-svetilniki-serii-fgo-vp?shopSku_id=67"/>
    <hyperlink ref="B12" r:id="rId5" display="https://zao-proton.ru/product/fitoled-svetilniki-serii-fgo-vp?shopSku_id=68"/>
    <hyperlink ref="B14" r:id="rId6" display="https://zao-proton.ru/product/fitoled-svetilniki-serii-fgo-up?shopSku_id=70"/>
    <hyperlink ref="B16" r:id="rId7" display="https://zao-proton.ru/product/fitoled-svetilniki-serii-fgo-up?shopSku_id=72"/>
    <hyperlink ref="B17" r:id="rId8" display="https://zao-proton.ru/product/fitoled-svetilniki-serii-fgo-up?shopSku_id=73"/>
    <hyperlink ref="B18" r:id="rId9" display="https://zao-proton.ru/product/fitoled-svetilniki-serii-fgo-up?shopSku_id=74"/>
    <hyperlink ref="B19" r:id="rId10" display="https://zao-proton.ru/product/fitoled-svetilniki-serii-fgo-up?shopSku_id=75"/>
    <hyperlink ref="B22" r:id="rId11" display="https://zao-proton.ru/product/fitoled-svetilniki-serii-fgo-mp?shopSku_id=79"/>
    <hyperlink ref="B23" r:id="rId12" display="https://zao-proton.ru/product/fitoled-svetilniki-serii-fgo-mp?shopSku_id=80"/>
    <hyperlink ref="B24" r:id="rId13" display="https://zao-proton.ru/product/fitoled-svetilniki-serii-fgo-mp?shopSku_id=81"/>
    <hyperlink ref="B8" r:id="rId14" display="https://zao-proton.ru/product/fitoled-svetilniki-serii-fgo-vp?shopSku_id=64"/>
    <hyperlink ref="B15" r:id="rId15" display="https://zao-proton.ru/product/fitoled-svetilniki-serii-fgo-up?shopSku_id=7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5"/>
  <sheetViews>
    <sheetView workbookViewId="0">
      <selection activeCell="A2" sqref="A2:XFD205"/>
    </sheetView>
  </sheetViews>
  <sheetFormatPr defaultRowHeight="15" x14ac:dyDescent="0.25"/>
  <cols>
    <col min="1" max="1" width="24.7109375" customWidth="1"/>
    <col min="2" max="2" width="38.42578125" customWidth="1"/>
    <col min="3" max="3" width="18.7109375" customWidth="1"/>
    <col min="4" max="4" width="12.42578125" customWidth="1"/>
    <col min="5" max="5" width="15" customWidth="1"/>
    <col min="6" max="6" width="13.85546875" customWidth="1"/>
    <col min="7" max="7" width="13.5703125" customWidth="1"/>
    <col min="8" max="8" width="15.140625" customWidth="1"/>
    <col min="9" max="9" width="14.140625" customWidth="1"/>
    <col min="10" max="10" width="13.140625" customWidth="1"/>
    <col min="13" max="13" width="15.42578125" bestFit="1" customWidth="1"/>
    <col min="16" max="16" width="13.7109375" customWidth="1"/>
  </cols>
  <sheetData>
    <row r="2" spans="2:9" hidden="1" x14ac:dyDescent="0.25"/>
    <row r="3" spans="2:9" hidden="1" x14ac:dyDescent="0.25"/>
    <row r="4" spans="2:9" hidden="1" x14ac:dyDescent="0.25"/>
    <row r="5" spans="2:9" hidden="1" x14ac:dyDescent="0.25"/>
    <row r="6" spans="2:9" hidden="1" x14ac:dyDescent="0.25"/>
    <row r="7" spans="2:9" hidden="1" x14ac:dyDescent="0.25">
      <c r="B7" s="229" t="s">
        <v>56</v>
      </c>
      <c r="C7" s="229"/>
      <c r="D7" s="229"/>
      <c r="E7" s="229"/>
      <c r="F7" s="229"/>
      <c r="G7" s="229"/>
      <c r="H7" s="17"/>
      <c r="I7" s="17"/>
    </row>
    <row r="8" spans="2:9" hidden="1" x14ac:dyDescent="0.25">
      <c r="B8" s="229" t="s">
        <v>57</v>
      </c>
      <c r="C8" s="229"/>
      <c r="D8" s="229"/>
      <c r="E8" s="229"/>
      <c r="F8" s="229"/>
      <c r="G8" s="229"/>
      <c r="H8" s="17"/>
      <c r="I8" s="17"/>
    </row>
    <row r="9" spans="2:9" ht="45" hidden="1" x14ac:dyDescent="0.25">
      <c r="B9" s="18" t="s">
        <v>58</v>
      </c>
      <c r="C9" s="18" t="s">
        <v>59</v>
      </c>
      <c r="D9" s="18" t="s">
        <v>60</v>
      </c>
      <c r="E9" s="18" t="s">
        <v>61</v>
      </c>
      <c r="F9" s="18" t="s">
        <v>62</v>
      </c>
      <c r="G9" s="18" t="s">
        <v>63</v>
      </c>
      <c r="H9" s="18" t="s">
        <v>64</v>
      </c>
      <c r="I9" s="18" t="s">
        <v>65</v>
      </c>
    </row>
    <row r="10" spans="2:9" hidden="1" x14ac:dyDescent="0.25">
      <c r="B10" s="18">
        <v>80</v>
      </c>
      <c r="C10" s="18">
        <v>0.15</v>
      </c>
      <c r="D10" s="18">
        <f>C10*TAN(3.14*2*B10/720)</f>
        <v>0.12577450412572366</v>
      </c>
      <c r="E10" s="18">
        <f>C10*TAN(3.14*2*B10/720)</f>
        <v>0.12577450412572366</v>
      </c>
      <c r="F10" s="18">
        <v>1.76</v>
      </c>
      <c r="G10" s="18">
        <f>E10*2</f>
        <v>0.25154900825144733</v>
      </c>
      <c r="H10" s="18">
        <f>E10*2+F10</f>
        <v>2.0115490082514471</v>
      </c>
      <c r="I10" s="18">
        <f>G10*H10</f>
        <v>0.50600315807483398</v>
      </c>
    </row>
    <row r="11" spans="2:9" hidden="1" x14ac:dyDescent="0.25">
      <c r="B11" s="17"/>
      <c r="C11" s="17"/>
      <c r="D11" s="17"/>
      <c r="E11" s="17"/>
      <c r="F11" s="17"/>
      <c r="G11" s="17"/>
      <c r="H11" s="17"/>
      <c r="I11" s="17"/>
    </row>
    <row r="12" spans="2:9" hidden="1" x14ac:dyDescent="0.25">
      <c r="B12" s="17"/>
      <c r="C12" s="17"/>
      <c r="D12" s="17"/>
      <c r="E12" s="17"/>
      <c r="F12" s="17"/>
      <c r="G12" s="17"/>
      <c r="H12" s="17"/>
      <c r="I12" s="17"/>
    </row>
    <row r="13" spans="2:9" hidden="1" x14ac:dyDescent="0.25">
      <c r="B13" s="230" t="s">
        <v>66</v>
      </c>
      <c r="C13" s="230"/>
      <c r="D13" s="230"/>
      <c r="E13" s="230"/>
      <c r="F13" s="230"/>
      <c r="G13" s="230"/>
      <c r="H13" s="17"/>
      <c r="I13" s="17"/>
    </row>
    <row r="14" spans="2:9" ht="44.25" hidden="1" customHeight="1" x14ac:dyDescent="0.25">
      <c r="B14" s="19" t="s">
        <v>67</v>
      </c>
      <c r="C14" s="18" t="s">
        <v>68</v>
      </c>
      <c r="D14" s="17"/>
      <c r="E14" s="17"/>
      <c r="F14" s="17"/>
      <c r="G14" s="17"/>
      <c r="H14" s="17"/>
      <c r="I14" s="17"/>
    </row>
    <row r="15" spans="2:9" hidden="1" x14ac:dyDescent="0.25">
      <c r="B15" s="18">
        <v>318.2</v>
      </c>
      <c r="C15" s="18">
        <f>B15/I10</f>
        <v>628.84983012880855</v>
      </c>
      <c r="D15" s="17"/>
      <c r="E15" s="17"/>
      <c r="F15" s="17"/>
      <c r="G15" s="17"/>
      <c r="H15" s="17"/>
      <c r="I15" s="17"/>
    </row>
    <row r="16" spans="2:9" hidden="1" x14ac:dyDescent="0.25"/>
    <row r="17" spans="1:16" hidden="1" x14ac:dyDescent="0.25"/>
    <row r="18" spans="1:16" hidden="1" x14ac:dyDescent="0.25"/>
    <row r="19" spans="1:16" hidden="1" x14ac:dyDescent="0.25">
      <c r="L19">
        <f>(0.15*TAN(3.14*2*$B$10/720))*2</f>
        <v>0.25154900825144733</v>
      </c>
    </row>
    <row r="20" spans="1:16" hidden="1" x14ac:dyDescent="0.25"/>
    <row r="21" spans="1:16" hidden="1" x14ac:dyDescent="0.25"/>
    <row r="22" spans="1:16" hidden="1" x14ac:dyDescent="0.25"/>
    <row r="23" spans="1:16" hidden="1" x14ac:dyDescent="0.25"/>
    <row r="24" spans="1:16" hidden="1" x14ac:dyDescent="0.25"/>
    <row r="25" spans="1:16" hidden="1" x14ac:dyDescent="0.25"/>
    <row r="26" spans="1:16" hidden="1" x14ac:dyDescent="0.25"/>
    <row r="27" spans="1:16" ht="75.75" hidden="1" customHeight="1" thickBot="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88" t="s">
        <v>104</v>
      </c>
      <c r="K27" s="88" t="s">
        <v>103</v>
      </c>
      <c r="L27" s="249" t="s">
        <v>97</v>
      </c>
      <c r="M27" s="250"/>
      <c r="N27" s="89" t="s">
        <v>102</v>
      </c>
      <c r="O27" s="90"/>
      <c r="P27" s="86"/>
    </row>
    <row r="28" spans="1:16" ht="45" hidden="1" x14ac:dyDescent="0.25">
      <c r="B28" s="28" t="s">
        <v>25</v>
      </c>
      <c r="C28" s="28" t="s">
        <v>100</v>
      </c>
      <c r="D28" s="28" t="s">
        <v>26</v>
      </c>
      <c r="E28" s="28" t="s">
        <v>27</v>
      </c>
      <c r="F28" s="40" t="s">
        <v>28</v>
      </c>
      <c r="G28" s="231" t="s">
        <v>98</v>
      </c>
      <c r="H28" s="232"/>
      <c r="I28" s="233"/>
      <c r="J28" s="231">
        <f>Расчет!G15</f>
        <v>0.6</v>
      </c>
      <c r="K28" s="232"/>
      <c r="L28" s="232"/>
      <c r="M28" s="232"/>
      <c r="N28" s="251"/>
      <c r="O28" s="36" t="s">
        <v>29</v>
      </c>
      <c r="P28" s="28" t="s">
        <v>30</v>
      </c>
    </row>
    <row r="29" spans="1:16" hidden="1" x14ac:dyDescent="0.25">
      <c r="B29" s="28"/>
      <c r="C29" s="28"/>
      <c r="D29" s="28"/>
      <c r="E29" s="28"/>
      <c r="F29" s="40"/>
      <c r="G29" s="44" t="s">
        <v>94</v>
      </c>
      <c r="H29" s="28" t="s">
        <v>95</v>
      </c>
      <c r="I29" s="45" t="s">
        <v>96</v>
      </c>
      <c r="J29" s="44"/>
      <c r="K29" s="44"/>
      <c r="L29" s="35" t="s">
        <v>99</v>
      </c>
      <c r="M29" s="87" t="s">
        <v>24</v>
      </c>
      <c r="N29" s="28"/>
      <c r="O29" s="36"/>
      <c r="P29" s="28"/>
    </row>
    <row r="30" spans="1:16" ht="22.5" hidden="1" customHeight="1" x14ac:dyDescent="0.25">
      <c r="A30" s="246" t="s">
        <v>87</v>
      </c>
      <c r="B30" s="29" t="s">
        <v>132</v>
      </c>
      <c r="C30" s="30">
        <v>16</v>
      </c>
      <c r="D30" s="30">
        <v>39.700000000000003</v>
      </c>
      <c r="E30" s="30" t="s">
        <v>72</v>
      </c>
      <c r="F30" s="41" t="s">
        <v>74</v>
      </c>
      <c r="G30" s="46">
        <v>0.53</v>
      </c>
      <c r="H30" s="30">
        <v>0.05</v>
      </c>
      <c r="I30" s="47">
        <v>7.0000000000000007E-2</v>
      </c>
      <c r="J30" s="46">
        <f>K30*$P30</f>
        <v>6070</v>
      </c>
      <c r="K30" s="46">
        <f>IF(ROUND((Расчет!$D$15/L30),0)=0,1,CEILING((Расчет!$D$15/L30),1))*IF(ROUND((Расчет!$E$15/M30),0)=0,1,CEILING((Расчет!$E$15/M30),1))*IF(ROUND((Расчет!$C$15/N30),0)=0,1,CEILING((Расчет!$C$15/N30),1))</f>
        <v>2</v>
      </c>
      <c r="L30" s="91">
        <f>ROUND((($J$28*TAN(3.14*2*$B$10/720))*2+$G30),1)</f>
        <v>1.5</v>
      </c>
      <c r="M30" s="113">
        <f>ROUND((($J$28*TAN(3.14*2*$B$10/720))*2),1)</f>
        <v>1</v>
      </c>
      <c r="N30" s="46">
        <f t="shared" ref="N30:N45" si="0">$D30/(M30*L30)</f>
        <v>26.466666666666669</v>
      </c>
      <c r="O30" s="134">
        <v>0.8</v>
      </c>
      <c r="P30" s="164">
        <v>3035</v>
      </c>
    </row>
    <row r="31" spans="1:16" ht="22.5" hidden="1" customHeight="1" x14ac:dyDescent="0.25">
      <c r="A31" s="246"/>
      <c r="B31" s="29" t="s">
        <v>71</v>
      </c>
      <c r="C31" s="30">
        <v>24</v>
      </c>
      <c r="D31" s="30">
        <v>52.8</v>
      </c>
      <c r="E31" s="30" t="s">
        <v>72</v>
      </c>
      <c r="F31" s="41" t="s">
        <v>32</v>
      </c>
      <c r="G31" s="46">
        <v>0.63</v>
      </c>
      <c r="H31" s="30">
        <v>0.05</v>
      </c>
      <c r="I31" s="47">
        <v>7.0000000000000007E-2</v>
      </c>
      <c r="J31" s="46">
        <f>K31*$P31</f>
        <v>8350</v>
      </c>
      <c r="K31" s="46">
        <f>IF(ROUND((Расчет!$D$15/L31),0)=0,1,CEILING((Расчет!$D$15/L31),1))*IF(ROUND((Расчет!$E$15/M31),0)=0,1,CEILING((Расчет!$E$15/M31),1))*IF(ROUND((Расчет!$C$15/N31),0)=0,1,CEILING((Расчет!$C$15/N31),1))</f>
        <v>2</v>
      </c>
      <c r="L31" s="134">
        <f>ROUND((($J$28*TAN(3.14*2*$B$10/720))*2+$G31),1)</f>
        <v>1.6</v>
      </c>
      <c r="M31" s="113">
        <f>ROUND((($J$28*TAN(3.14*2*$B$10/720))*2),1)</f>
        <v>1</v>
      </c>
      <c r="N31" s="46">
        <f t="shared" ref="N31" si="1">$D31/(M31*L31)</f>
        <v>32.999999999999993</v>
      </c>
      <c r="O31" s="134">
        <v>0.9</v>
      </c>
      <c r="P31" s="164">
        <v>4175</v>
      </c>
    </row>
    <row r="32" spans="1:16" ht="22.5" hidden="1" customHeight="1" x14ac:dyDescent="0.25">
      <c r="A32" s="246"/>
      <c r="B32" s="32" t="s">
        <v>73</v>
      </c>
      <c r="C32" s="33">
        <v>32</v>
      </c>
      <c r="D32" s="33">
        <v>79.3</v>
      </c>
      <c r="E32" s="33" t="s">
        <v>72</v>
      </c>
      <c r="F32" s="41" t="s">
        <v>74</v>
      </c>
      <c r="G32" s="48">
        <v>0.49</v>
      </c>
      <c r="H32" s="30">
        <v>0.05</v>
      </c>
      <c r="I32" s="47">
        <v>7.0000000000000007E-2</v>
      </c>
      <c r="J32" s="46">
        <f t="shared" ref="J32:J45" si="2">K32*$P32</f>
        <v>9878</v>
      </c>
      <c r="K32" s="46">
        <f>IF(ROUND((Расчет!$D$15/L32),0)=0,1,CEILING((Расчет!$D$15/L32),1))*IF(ROUND((Расчет!$E$15/M32),0)=0,1,CEILING((Расчет!$E$15/M32),1))*IF(ROUND((Расчет!$C$15/N32),0)=0,1,CEILING((Расчет!$C$15/N32),1))</f>
        <v>2</v>
      </c>
      <c r="L32" s="91">
        <f t="shared" ref="L32:L45" si="3">ROUND((($J$28*TAN(3.14*2*$B$10/720))*2+$G32),1)</f>
        <v>1.5</v>
      </c>
      <c r="M32" s="113">
        <f t="shared" ref="M32:M45" si="4">ROUND((($J$28*TAN(3.14*2*$B$10/720))*2),1)</f>
        <v>1</v>
      </c>
      <c r="N32" s="46">
        <f t="shared" si="0"/>
        <v>52.866666666666667</v>
      </c>
      <c r="O32" s="54">
        <v>0.8</v>
      </c>
      <c r="P32" s="165">
        <v>4939</v>
      </c>
    </row>
    <row r="33" spans="1:21" ht="22.5" hidden="1" customHeight="1" x14ac:dyDescent="0.25">
      <c r="A33" s="246"/>
      <c r="B33" s="29" t="s">
        <v>76</v>
      </c>
      <c r="C33" s="30">
        <v>48</v>
      </c>
      <c r="D33" s="30">
        <v>105.7</v>
      </c>
      <c r="E33" s="30" t="s">
        <v>72</v>
      </c>
      <c r="F33" s="41" t="s">
        <v>35</v>
      </c>
      <c r="G33" s="46">
        <v>0.63</v>
      </c>
      <c r="H33" s="30">
        <v>0.05</v>
      </c>
      <c r="I33" s="47">
        <v>7.0000000000000007E-2</v>
      </c>
      <c r="J33" s="46">
        <f t="shared" si="2"/>
        <v>12078</v>
      </c>
      <c r="K33" s="46">
        <f>IF(ROUND((Расчет!$D$15/L33),0)=0,1,CEILING((Расчет!$D$15/L33),1))*IF(ROUND((Расчет!$E$15/M33),0)=0,1,CEILING((Расчет!$E$15/M33),1))*IF(ROUND((Расчет!$C$15/N33),0)=0,1,CEILING((Расчет!$C$15/N33),1))</f>
        <v>2</v>
      </c>
      <c r="L33" s="91">
        <f t="shared" si="3"/>
        <v>1.6</v>
      </c>
      <c r="M33" s="113">
        <f t="shared" si="4"/>
        <v>1</v>
      </c>
      <c r="N33" s="46">
        <f t="shared" si="0"/>
        <v>66.0625</v>
      </c>
      <c r="O33" s="134">
        <v>0.9</v>
      </c>
      <c r="P33" s="164">
        <v>6039</v>
      </c>
    </row>
    <row r="34" spans="1:21" ht="22.5" hidden="1" customHeight="1" x14ac:dyDescent="0.25">
      <c r="A34" s="246"/>
      <c r="B34" s="32" t="s">
        <v>77</v>
      </c>
      <c r="C34" s="33">
        <v>56</v>
      </c>
      <c r="D34" s="33">
        <v>132.1</v>
      </c>
      <c r="E34" s="33" t="s">
        <v>72</v>
      </c>
      <c r="F34" s="41" t="s">
        <v>39</v>
      </c>
      <c r="G34" s="48">
        <v>0.77</v>
      </c>
      <c r="H34" s="30">
        <v>0.05</v>
      </c>
      <c r="I34" s="47">
        <v>7.0000000000000007E-2</v>
      </c>
      <c r="J34" s="46">
        <f t="shared" si="2"/>
        <v>14498</v>
      </c>
      <c r="K34" s="46">
        <f>IF(ROUND((Расчет!$D$15/L34),0)=0,1,CEILING((Расчет!$D$15/L34),1))*IF(ROUND((Расчет!$E$15/M34),0)=0,1,CEILING((Расчет!$E$15/M34),1))*IF(ROUND((Расчет!$C$15/N34),0)=0,1,CEILING((Расчет!$C$15/N34),1))</f>
        <v>2</v>
      </c>
      <c r="L34" s="91">
        <f t="shared" si="3"/>
        <v>1.8</v>
      </c>
      <c r="M34" s="113">
        <f t="shared" si="4"/>
        <v>1</v>
      </c>
      <c r="N34" s="46">
        <f t="shared" si="0"/>
        <v>73.388888888888886</v>
      </c>
      <c r="O34" s="54">
        <v>1.1000000000000001</v>
      </c>
      <c r="P34" s="165">
        <v>7249</v>
      </c>
    </row>
    <row r="35" spans="1:21" ht="22.5" hidden="1" customHeight="1" x14ac:dyDescent="0.25">
      <c r="A35" s="246"/>
      <c r="B35" s="29" t="s">
        <v>78</v>
      </c>
      <c r="C35" s="30">
        <v>96</v>
      </c>
      <c r="D35" s="30">
        <v>211.4</v>
      </c>
      <c r="E35" s="30" t="s">
        <v>72</v>
      </c>
      <c r="F35" s="41" t="s">
        <v>43</v>
      </c>
      <c r="G35" s="46">
        <v>1.3</v>
      </c>
      <c r="H35" s="30">
        <v>0.05</v>
      </c>
      <c r="I35" s="47">
        <v>7.0000000000000007E-2</v>
      </c>
      <c r="J35" s="46">
        <f t="shared" si="2"/>
        <v>11759</v>
      </c>
      <c r="K35" s="46">
        <f>IF(ROUND((Расчет!$D$15/L35),0)=0,1,CEILING((Расчет!$D$15/L35),1))*IF(ROUND((Расчет!$E$15/M35),0)=0,1,CEILING((Расчет!$E$15/M35),1))*IF(ROUND((Расчет!$C$15/N35),0)=0,1,CEILING((Расчет!$C$15/N35),1))</f>
        <v>1</v>
      </c>
      <c r="L35" s="91">
        <f t="shared" si="3"/>
        <v>2.2999999999999998</v>
      </c>
      <c r="M35" s="113">
        <f t="shared" si="4"/>
        <v>1</v>
      </c>
      <c r="N35" s="46">
        <f t="shared" si="0"/>
        <v>91.913043478260875</v>
      </c>
      <c r="O35" s="134">
        <v>1.8</v>
      </c>
      <c r="P35" s="164">
        <v>11759</v>
      </c>
    </row>
    <row r="36" spans="1:21" ht="22.5" hidden="1" customHeight="1" x14ac:dyDescent="0.25">
      <c r="A36" s="246" t="s">
        <v>89</v>
      </c>
      <c r="B36" s="29" t="s">
        <v>133</v>
      </c>
      <c r="C36" s="30">
        <v>24</v>
      </c>
      <c r="D36" s="30">
        <v>53</v>
      </c>
      <c r="E36" s="30" t="s">
        <v>82</v>
      </c>
      <c r="F36" s="41" t="s">
        <v>74</v>
      </c>
      <c r="G36" s="46">
        <v>0.63</v>
      </c>
      <c r="H36" s="30">
        <v>0.05</v>
      </c>
      <c r="I36" s="47">
        <v>7.0000000000000007E-2</v>
      </c>
      <c r="J36" s="46">
        <f t="shared" si="2"/>
        <v>8350</v>
      </c>
      <c r="K36" s="46">
        <f>IF(ROUND((Расчет!$D$15/L36),0)=0,1,CEILING((Расчет!$D$15/L36),1))*IF(ROUND((Расчет!$E$15/M36),0)=0,1,CEILING((Расчет!$E$15/M36),1))*IF(ROUND((Расчет!$C$15/N36),0)=0,1,CEILING((Расчет!$C$15/N36),1))</f>
        <v>2</v>
      </c>
      <c r="L36" s="91">
        <f t="shared" si="3"/>
        <v>1.6</v>
      </c>
      <c r="M36" s="113">
        <f t="shared" si="4"/>
        <v>1</v>
      </c>
      <c r="N36" s="46">
        <f t="shared" si="0"/>
        <v>33.125</v>
      </c>
      <c r="O36" s="134">
        <v>0.9</v>
      </c>
      <c r="P36" s="164">
        <v>4175</v>
      </c>
    </row>
    <row r="37" spans="1:21" ht="22.5" hidden="1" customHeight="1" x14ac:dyDescent="0.25">
      <c r="A37" s="246"/>
      <c r="B37" s="29" t="s">
        <v>79</v>
      </c>
      <c r="C37" s="30">
        <v>32</v>
      </c>
      <c r="D37" s="30">
        <v>79.400000000000006</v>
      </c>
      <c r="E37" s="30" t="s">
        <v>80</v>
      </c>
      <c r="F37" s="41" t="s">
        <v>74</v>
      </c>
      <c r="G37" s="46">
        <v>0.49</v>
      </c>
      <c r="H37" s="30">
        <v>0.05</v>
      </c>
      <c r="I37" s="47">
        <v>7.0000000000000007E-2</v>
      </c>
      <c r="J37" s="46">
        <f t="shared" ref="J37" si="5">K37*$P37</f>
        <v>9878</v>
      </c>
      <c r="K37" s="46">
        <f>IF(ROUND((Расчет!$D$15/L37),0)=0,1,CEILING((Расчет!$D$15/L37),1))*IF(ROUND((Расчет!$E$15/M37),0)=0,1,CEILING((Расчет!$E$15/M37),1))*IF(ROUND((Расчет!$C$15/N37),0)=0,1,CEILING((Расчет!$C$15/N37),1))</f>
        <v>2</v>
      </c>
      <c r="L37" s="134">
        <f t="shared" si="3"/>
        <v>1.5</v>
      </c>
      <c r="M37" s="113">
        <f t="shared" si="4"/>
        <v>1</v>
      </c>
      <c r="N37" s="46">
        <f t="shared" ref="N37" si="6">$D37/(M37*L37)</f>
        <v>52.933333333333337</v>
      </c>
      <c r="O37" s="134">
        <v>0.8</v>
      </c>
      <c r="P37" s="164">
        <v>4939</v>
      </c>
    </row>
    <row r="38" spans="1:21" ht="22.5" hidden="1" customHeight="1" x14ac:dyDescent="0.25">
      <c r="A38" s="246"/>
      <c r="B38" s="32" t="s">
        <v>81</v>
      </c>
      <c r="C38" s="33">
        <v>48</v>
      </c>
      <c r="D38" s="33">
        <v>105.9</v>
      </c>
      <c r="E38" s="33" t="s">
        <v>82</v>
      </c>
      <c r="F38" s="41" t="s">
        <v>35</v>
      </c>
      <c r="G38" s="48">
        <v>0.63</v>
      </c>
      <c r="H38" s="30">
        <v>0.05</v>
      </c>
      <c r="I38" s="47">
        <v>7.0000000000000007E-2</v>
      </c>
      <c r="J38" s="46">
        <f t="shared" si="2"/>
        <v>12078</v>
      </c>
      <c r="K38" s="46">
        <f>IF(ROUND((Расчет!$D$15/L38),0)=0,1,CEILING((Расчет!$D$15/L38),1))*IF(ROUND((Расчет!$E$15/M38),0)=0,1,CEILING((Расчет!$E$15/M38),1))*IF(ROUND((Расчет!$C$15/N38),0)=0,1,CEILING((Расчет!$C$15/N38),1))</f>
        <v>2</v>
      </c>
      <c r="L38" s="91">
        <f t="shared" si="3"/>
        <v>1.6</v>
      </c>
      <c r="M38" s="113">
        <f t="shared" si="4"/>
        <v>1</v>
      </c>
      <c r="N38" s="46">
        <f t="shared" si="0"/>
        <v>66.1875</v>
      </c>
      <c r="O38" s="54">
        <v>0.9</v>
      </c>
      <c r="P38" s="165">
        <v>6039</v>
      </c>
    </row>
    <row r="39" spans="1:21" ht="22.5" hidden="1" customHeight="1" x14ac:dyDescent="0.25">
      <c r="A39" s="246"/>
      <c r="B39" s="29" t="s">
        <v>83</v>
      </c>
      <c r="C39" s="30">
        <v>56</v>
      </c>
      <c r="D39" s="30">
        <v>132.30000000000001</v>
      </c>
      <c r="E39" s="30" t="s">
        <v>84</v>
      </c>
      <c r="F39" s="41" t="s">
        <v>39</v>
      </c>
      <c r="G39" s="46">
        <v>0.77</v>
      </c>
      <c r="H39" s="30">
        <v>0.05</v>
      </c>
      <c r="I39" s="47">
        <v>7.0000000000000007E-2</v>
      </c>
      <c r="J39" s="46">
        <f t="shared" si="2"/>
        <v>14498</v>
      </c>
      <c r="K39" s="46">
        <f>IF(ROUND((Расчет!$D$15/L39),0)=0,1,CEILING((Расчет!$D$15/L39),1))*IF(ROUND((Расчет!$E$15/M39),0)=0,1,CEILING((Расчет!$E$15/M39),1))*IF(ROUND((Расчет!$C$15/N39),0)=0,1,CEILING((Расчет!$C$15/N39),1))</f>
        <v>2</v>
      </c>
      <c r="L39" s="91">
        <f t="shared" si="3"/>
        <v>1.8</v>
      </c>
      <c r="M39" s="113">
        <f t="shared" si="4"/>
        <v>1</v>
      </c>
      <c r="N39" s="46">
        <f t="shared" si="0"/>
        <v>73.5</v>
      </c>
      <c r="O39" s="134">
        <v>1.1000000000000001</v>
      </c>
      <c r="P39" s="164">
        <v>7249</v>
      </c>
    </row>
    <row r="40" spans="1:21" ht="22.5" hidden="1" customHeight="1" x14ac:dyDescent="0.25">
      <c r="A40" s="246"/>
      <c r="B40" s="32" t="s">
        <v>85</v>
      </c>
      <c r="C40" s="33">
        <v>64</v>
      </c>
      <c r="D40" s="33">
        <v>158.9</v>
      </c>
      <c r="E40" s="33" t="s">
        <v>80</v>
      </c>
      <c r="F40" s="41" t="s">
        <v>41</v>
      </c>
      <c r="G40" s="48">
        <v>0.91</v>
      </c>
      <c r="H40" s="30">
        <v>0.05</v>
      </c>
      <c r="I40" s="47">
        <v>7.0000000000000007E-2</v>
      </c>
      <c r="J40" s="46">
        <f t="shared" si="2"/>
        <v>16698</v>
      </c>
      <c r="K40" s="46">
        <f>IF(ROUND((Расчет!$D$15/L40),0)=0,1,CEILING((Расчет!$D$15/L40),1))*IF(ROUND((Расчет!$E$15/M40),0)=0,1,CEILING((Расчет!$E$15/M40),1))*IF(ROUND((Расчет!$C$15/N40),0)=0,1,CEILING((Расчет!$C$15/N40),1))</f>
        <v>2</v>
      </c>
      <c r="L40" s="91">
        <f t="shared" si="3"/>
        <v>1.9</v>
      </c>
      <c r="M40" s="113">
        <f t="shared" si="4"/>
        <v>1</v>
      </c>
      <c r="N40" s="46">
        <f t="shared" si="0"/>
        <v>83.631578947368425</v>
      </c>
      <c r="O40" s="54">
        <v>1.3</v>
      </c>
      <c r="P40" s="165">
        <v>8349</v>
      </c>
    </row>
    <row r="41" spans="1:21" ht="22.5" hidden="1" customHeight="1" x14ac:dyDescent="0.25">
      <c r="A41" s="246"/>
      <c r="B41" s="29" t="s">
        <v>86</v>
      </c>
      <c r="C41" s="30">
        <v>96</v>
      </c>
      <c r="D41" s="30">
        <v>211.7</v>
      </c>
      <c r="E41" s="30" t="s">
        <v>82</v>
      </c>
      <c r="F41" s="41" t="s">
        <v>43</v>
      </c>
      <c r="G41" s="46">
        <v>1.3</v>
      </c>
      <c r="H41" s="30">
        <v>0.05</v>
      </c>
      <c r="I41" s="47">
        <v>7.0000000000000007E-2</v>
      </c>
      <c r="J41" s="46">
        <f t="shared" si="2"/>
        <v>11759</v>
      </c>
      <c r="K41" s="46">
        <f>IF(ROUND((Расчет!$D$15/L41),0)=0,1,CEILING((Расчет!$D$15/L41),1))*IF(ROUND((Расчет!$E$15/M41),0)=0,1,CEILING((Расчет!$E$15/M41),1))*IF(ROUND((Расчет!$C$15/N41),0)=0,1,CEILING((Расчет!$C$15/N41),1))</f>
        <v>1</v>
      </c>
      <c r="L41" s="91">
        <f t="shared" si="3"/>
        <v>2.2999999999999998</v>
      </c>
      <c r="M41" s="113">
        <f t="shared" si="4"/>
        <v>1</v>
      </c>
      <c r="N41" s="46">
        <f t="shared" si="0"/>
        <v>92.043478260869563</v>
      </c>
      <c r="O41" s="134">
        <v>1.8</v>
      </c>
      <c r="P41" s="164">
        <v>11759</v>
      </c>
    </row>
    <row r="42" spans="1:21" ht="22.5" hidden="1" customHeight="1" x14ac:dyDescent="0.25">
      <c r="A42" s="246" t="s">
        <v>88</v>
      </c>
      <c r="B42" s="32" t="s">
        <v>34</v>
      </c>
      <c r="C42" s="33">
        <v>48</v>
      </c>
      <c r="D42" s="33">
        <v>106.1</v>
      </c>
      <c r="E42" s="33" t="s">
        <v>31</v>
      </c>
      <c r="F42" s="41" t="s">
        <v>35</v>
      </c>
      <c r="G42" s="48">
        <v>0.63</v>
      </c>
      <c r="H42" s="30">
        <v>0.05</v>
      </c>
      <c r="I42" s="47">
        <v>7.0000000000000007E-2</v>
      </c>
      <c r="J42" s="46">
        <f t="shared" si="2"/>
        <v>12078</v>
      </c>
      <c r="K42" s="46">
        <f>IF(ROUND((Расчет!$D$15/L42),0)=0,1,CEILING((Расчет!$D$15/L42),1))*IF(ROUND((Расчет!$E$15/M42),0)=0,1,CEILING((Расчет!$E$15/M42),1))*IF(ROUND((Расчет!$C$15/N42),0)=0,1,CEILING((Расчет!$C$15/N42),1))</f>
        <v>2</v>
      </c>
      <c r="L42" s="91">
        <f t="shared" si="3"/>
        <v>1.6</v>
      </c>
      <c r="M42" s="113">
        <f t="shared" si="4"/>
        <v>1</v>
      </c>
      <c r="N42" s="46">
        <f t="shared" si="0"/>
        <v>66.312499999999986</v>
      </c>
      <c r="O42" s="54">
        <v>0.9</v>
      </c>
      <c r="P42" s="165">
        <v>6039</v>
      </c>
    </row>
    <row r="43" spans="1:21" ht="22.5" hidden="1" customHeight="1" x14ac:dyDescent="0.25">
      <c r="A43" s="246"/>
      <c r="B43" s="29" t="s">
        <v>37</v>
      </c>
      <c r="C43" s="30">
        <v>56</v>
      </c>
      <c r="D43" s="30">
        <v>132.5</v>
      </c>
      <c r="E43" s="30" t="s">
        <v>38</v>
      </c>
      <c r="F43" s="41" t="s">
        <v>39</v>
      </c>
      <c r="G43" s="46">
        <v>0.77</v>
      </c>
      <c r="H43" s="30">
        <v>0.05</v>
      </c>
      <c r="I43" s="47">
        <v>7.0000000000000007E-2</v>
      </c>
      <c r="J43" s="46">
        <f t="shared" si="2"/>
        <v>14498</v>
      </c>
      <c r="K43" s="46">
        <f>IF(ROUND((Расчет!$D$15/L43),0)=0,1,CEILING((Расчет!$D$15/L43),1))*IF(ROUND((Расчет!$E$15/M43),0)=0,1,CEILING((Расчет!$E$15/M43),1))*IF(ROUND((Расчет!$C$15/N43),0)=0,1,CEILING((Расчет!$C$15/N43),1))</f>
        <v>2</v>
      </c>
      <c r="L43" s="91">
        <f t="shared" si="3"/>
        <v>1.8</v>
      </c>
      <c r="M43" s="113">
        <f t="shared" si="4"/>
        <v>1</v>
      </c>
      <c r="N43" s="46">
        <f t="shared" si="0"/>
        <v>73.611111111111114</v>
      </c>
      <c r="O43" s="134">
        <v>1.1000000000000001</v>
      </c>
      <c r="P43" s="164">
        <v>7249</v>
      </c>
    </row>
    <row r="44" spans="1:21" ht="22.5" hidden="1" customHeight="1" x14ac:dyDescent="0.25">
      <c r="A44" s="246"/>
      <c r="B44" s="32" t="s">
        <v>40</v>
      </c>
      <c r="C44" s="33">
        <v>64</v>
      </c>
      <c r="D44" s="33">
        <v>159.1</v>
      </c>
      <c r="E44" s="33" t="s">
        <v>31</v>
      </c>
      <c r="F44" s="41" t="s">
        <v>41</v>
      </c>
      <c r="G44" s="48">
        <v>0.91</v>
      </c>
      <c r="H44" s="30">
        <v>0.05</v>
      </c>
      <c r="I44" s="47">
        <v>7.0000000000000007E-2</v>
      </c>
      <c r="J44" s="46">
        <f t="shared" si="2"/>
        <v>15180</v>
      </c>
      <c r="K44" s="46">
        <f>IF(ROUND((Расчет!$D$15/L44),0)=0,1,CEILING((Расчет!$D$15/L44),1))*IF(ROUND((Расчет!$E$15/M44),0)=0,1,CEILING((Расчет!$E$15/M44),1))*IF(ROUND((Расчет!$C$15/N44),0)=0,1,CEILING((Расчет!$C$15/N44),1))</f>
        <v>2</v>
      </c>
      <c r="L44" s="91">
        <f t="shared" si="3"/>
        <v>1.9</v>
      </c>
      <c r="M44" s="113">
        <f t="shared" si="4"/>
        <v>1</v>
      </c>
      <c r="N44" s="46">
        <f t="shared" si="0"/>
        <v>83.736842105263165</v>
      </c>
      <c r="O44" s="54">
        <v>1.3</v>
      </c>
      <c r="P44" s="165">
        <v>7590</v>
      </c>
    </row>
    <row r="45" spans="1:21" ht="22.5" hidden="1" customHeight="1" thickBot="1" x14ac:dyDescent="0.3">
      <c r="A45" s="246"/>
      <c r="B45" s="29" t="s">
        <v>42</v>
      </c>
      <c r="C45" s="30">
        <v>96</v>
      </c>
      <c r="D45" s="30">
        <v>212.1</v>
      </c>
      <c r="E45" s="30" t="s">
        <v>31</v>
      </c>
      <c r="F45" s="41" t="s">
        <v>43</v>
      </c>
      <c r="G45" s="50">
        <v>1.3</v>
      </c>
      <c r="H45" s="30">
        <v>0.05</v>
      </c>
      <c r="I45" s="47">
        <v>7.0000000000000007E-2</v>
      </c>
      <c r="J45" s="46">
        <f t="shared" si="2"/>
        <v>11759</v>
      </c>
      <c r="K45" s="46">
        <f>IF(ROUND((Расчет!$D$15/L45),0)=0,1,CEILING((Расчет!$D$15/L45),1))*IF(ROUND((Расчет!$E$15/M45),0)=0,1,CEILING((Расчет!$E$15/M45),1))*IF(ROUND((Расчет!$C$15/N45),0)=0,1,CEILING((Расчет!$C$15/N45),1))</f>
        <v>1</v>
      </c>
      <c r="L45" s="91">
        <f t="shared" si="3"/>
        <v>2.2999999999999998</v>
      </c>
      <c r="M45" s="113">
        <f t="shared" si="4"/>
        <v>1</v>
      </c>
      <c r="N45" s="50">
        <f t="shared" si="0"/>
        <v>92.217391304347828</v>
      </c>
      <c r="O45" s="134">
        <v>1.8</v>
      </c>
      <c r="P45" s="164">
        <v>11759</v>
      </c>
    </row>
    <row r="46" spans="1:21" ht="85.5" hidden="1" customHeight="1" x14ac:dyDescent="0.25"/>
    <row r="47" spans="1:21" hidden="1" x14ac:dyDescent="0.25">
      <c r="U47" s="81" t="e">
        <f>IF(T$24=B28,P28,0)+IF(T$24=B29,P29,0)+IF(T$24=B30,P30,0)+IF(T$24=B32,P32,0)+IF(T$24=B33,P33,0)+IF(T$24=B35,P35,0)+IF(T$24=B36,P36,0)+IF(T$24=B38,P38,0)+IF(T$24=B39,P39,0)+IF(T$24=B40,P40,0)+IF(T$24=#REF!,#REF!,0)+IF(T$24=B42,P42,0)+IF(T$24=B43,P43,0)+IF(T$24=B44,P44,0)+IF(T$24=B45,P45,0)</f>
        <v>#REF!</v>
      </c>
    </row>
    <row r="48" spans="1:21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</sheetData>
  <sheetProtection password="C7BD" sheet="1" objects="1" scenarios="1" selectLockedCells="1" selectUnlockedCells="1"/>
  <mergeCells count="9">
    <mergeCell ref="A36:A41"/>
    <mergeCell ref="A42:A45"/>
    <mergeCell ref="L27:M27"/>
    <mergeCell ref="J28:N28"/>
    <mergeCell ref="B7:G7"/>
    <mergeCell ref="B8:G8"/>
    <mergeCell ref="B13:G13"/>
    <mergeCell ref="G28:I28"/>
    <mergeCell ref="A30:A35"/>
  </mergeCells>
  <hyperlinks>
    <hyperlink ref="B30" r:id="rId1" display="https://zao-proton.ru/product/fitoled-svetilniki-serii-fgo-vp?shopSku_id=64"/>
    <hyperlink ref="B32" r:id="rId2" display="https://zao-proton.ru/product/fitoled-svetilniki-serii-fgo-vp?shopSku_id=65"/>
    <hyperlink ref="B33" r:id="rId3" display="https://zao-proton.ru/product/fitoled-svetilniki-serii-fgo-vp?shopSku_id=66"/>
    <hyperlink ref="B34" r:id="rId4" display="https://zao-proton.ru/product/fitoled-svetilniki-serii-fgo-vp?shopSku_id=67"/>
    <hyperlink ref="B35" r:id="rId5" display="https://zao-proton.ru/product/fitoled-svetilniki-serii-fgo-vp?shopSku_id=68"/>
    <hyperlink ref="B31" r:id="rId6" display="https://zao-proton.ru/product/fitoled-svetilniki-serii-fgo-vp?shopSku_id=64"/>
    <hyperlink ref="B36" r:id="rId7" display="https://zao-proton.ru/product/fitoled-svetilniki-serii-fgo-up?shopSku_id=70"/>
    <hyperlink ref="B38" r:id="rId8" display="https://zao-proton.ru/product/fitoled-svetilniki-serii-fgo-up?shopSku_id=72"/>
    <hyperlink ref="B39" r:id="rId9" display="https://zao-proton.ru/product/fitoled-svetilniki-serii-fgo-up?shopSku_id=73"/>
    <hyperlink ref="B40" r:id="rId10" display="https://zao-proton.ru/product/fitoled-svetilniki-serii-fgo-up?shopSku_id=74"/>
    <hyperlink ref="B41" r:id="rId11" display="https://zao-proton.ru/product/fitoled-svetilniki-serii-fgo-up?shopSku_id=75"/>
    <hyperlink ref="B37" r:id="rId12" display="https://zao-proton.ru/product/fitoled-svetilniki-serii-fgo-up?shopSku_id=70"/>
    <hyperlink ref="B43" r:id="rId13" display="https://zao-proton.ru/product/fitoled-svetilniki-serii-fgo-mp?shopSku_id=79"/>
    <hyperlink ref="B44" r:id="rId14" display="https://zao-proton.ru/product/fitoled-svetilniki-serii-fgo-mp?shopSku_id=80"/>
    <hyperlink ref="B45" r:id="rId15" display="https://zao-proton.ru/product/fitoled-svetilniki-serii-fgo-mp?shopSku_id=8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273"/>
  <sheetViews>
    <sheetView topLeftCell="D1" workbookViewId="0">
      <selection activeCell="D2" sqref="A2:XFD273"/>
    </sheetView>
  </sheetViews>
  <sheetFormatPr defaultRowHeight="15" x14ac:dyDescent="0.25"/>
  <cols>
    <col min="1" max="1" width="43" customWidth="1"/>
    <col min="2" max="2" width="48.140625" customWidth="1"/>
    <col min="10" max="10" width="16" customWidth="1"/>
    <col min="11" max="11" width="14" customWidth="1"/>
    <col min="13" max="13" width="17.85546875" customWidth="1"/>
    <col min="16" max="16" width="13" customWidth="1"/>
    <col min="18" max="18" width="16.42578125" customWidth="1"/>
  </cols>
  <sheetData>
    <row r="2" spans="1:72" hidden="1" x14ac:dyDescent="0.25"/>
    <row r="3" spans="1:72" hidden="1" x14ac:dyDescent="0.25"/>
    <row r="4" spans="1:72" ht="15.75" hidden="1" thickBot="1" x14ac:dyDescent="0.3"/>
    <row r="5" spans="1:72" ht="60" hidden="1" x14ac:dyDescent="0.25">
      <c r="B5" s="28" t="s">
        <v>126</v>
      </c>
      <c r="C5" s="28" t="s">
        <v>100</v>
      </c>
      <c r="D5" s="28" t="s">
        <v>26</v>
      </c>
      <c r="E5" s="28" t="s">
        <v>27</v>
      </c>
      <c r="F5" s="40" t="s">
        <v>28</v>
      </c>
      <c r="G5" s="231" t="s">
        <v>98</v>
      </c>
      <c r="H5" s="232"/>
      <c r="I5" s="233"/>
      <c r="J5" s="56">
        <v>0.3</v>
      </c>
      <c r="K5" s="67">
        <v>0.4</v>
      </c>
      <c r="L5" s="67">
        <v>0.5</v>
      </c>
      <c r="M5" s="67">
        <v>0.6</v>
      </c>
      <c r="N5" s="67">
        <v>0.7</v>
      </c>
      <c r="O5" s="67">
        <v>0.8</v>
      </c>
      <c r="P5" s="67">
        <v>0.9</v>
      </c>
      <c r="Q5" s="67">
        <v>1</v>
      </c>
      <c r="R5" s="67">
        <v>1.5</v>
      </c>
      <c r="S5" s="67">
        <v>2</v>
      </c>
      <c r="T5" s="67">
        <v>2.5</v>
      </c>
      <c r="U5" s="61">
        <v>3</v>
      </c>
      <c r="V5" s="65"/>
      <c r="W5" s="56">
        <v>0.3</v>
      </c>
      <c r="X5" s="67">
        <v>0.4</v>
      </c>
      <c r="Y5" s="67">
        <v>0.5</v>
      </c>
      <c r="Z5" s="67">
        <v>0.6</v>
      </c>
      <c r="AA5" s="67">
        <v>0.7</v>
      </c>
      <c r="AB5" s="67">
        <v>0.8</v>
      </c>
      <c r="AC5" s="67">
        <v>0.9</v>
      </c>
      <c r="AD5" s="67">
        <v>1</v>
      </c>
      <c r="AE5" s="67">
        <v>1.5</v>
      </c>
      <c r="AF5" s="67">
        <v>2</v>
      </c>
      <c r="AG5" s="67">
        <v>2.5</v>
      </c>
      <c r="AH5" s="61">
        <v>3</v>
      </c>
      <c r="AI5" s="65">
        <v>0.3</v>
      </c>
      <c r="AJ5" s="60">
        <v>0.4</v>
      </c>
      <c r="AK5" s="60">
        <v>0.5</v>
      </c>
      <c r="AL5" s="60">
        <v>0.6</v>
      </c>
      <c r="AM5" s="60">
        <v>0.7</v>
      </c>
      <c r="AN5" s="60">
        <v>0.8</v>
      </c>
      <c r="AO5" s="60">
        <v>0.9</v>
      </c>
      <c r="AP5" s="60">
        <v>1</v>
      </c>
      <c r="AQ5" s="60">
        <v>1.5</v>
      </c>
      <c r="AR5" s="60">
        <v>2</v>
      </c>
      <c r="AS5" s="60">
        <v>2.5</v>
      </c>
      <c r="AT5" s="61">
        <v>3</v>
      </c>
      <c r="AU5" s="56">
        <v>0.3</v>
      </c>
      <c r="AV5" s="57">
        <v>0.4</v>
      </c>
      <c r="AW5" s="132">
        <v>0.5</v>
      </c>
      <c r="AX5" s="132">
        <v>0.6</v>
      </c>
      <c r="AY5" s="132">
        <v>0.7</v>
      </c>
      <c r="AZ5" s="132">
        <v>0.8</v>
      </c>
      <c r="BA5" s="132">
        <v>0.9</v>
      </c>
      <c r="BB5" s="132">
        <v>1</v>
      </c>
      <c r="BC5" s="132">
        <v>1.5</v>
      </c>
      <c r="BD5" s="132">
        <v>2</v>
      </c>
      <c r="BE5" s="132">
        <v>2.5</v>
      </c>
      <c r="BF5" s="125">
        <v>3</v>
      </c>
      <c r="BG5" s="56">
        <v>0.3</v>
      </c>
      <c r="BH5" s="57">
        <v>0.4</v>
      </c>
      <c r="BI5" s="132">
        <v>0.5</v>
      </c>
      <c r="BJ5" s="132">
        <v>0.6</v>
      </c>
      <c r="BK5" s="132">
        <v>0.7</v>
      </c>
      <c r="BL5" s="132">
        <v>0.8</v>
      </c>
      <c r="BM5" s="132">
        <v>0.9</v>
      </c>
      <c r="BN5" s="132">
        <v>1</v>
      </c>
      <c r="BO5" s="132">
        <v>1.5</v>
      </c>
      <c r="BP5" s="132">
        <v>2</v>
      </c>
      <c r="BQ5" s="132">
        <v>2.5</v>
      </c>
      <c r="BR5" s="126">
        <v>3</v>
      </c>
      <c r="BS5" s="36" t="s">
        <v>29</v>
      </c>
      <c r="BT5" s="28" t="s">
        <v>30</v>
      </c>
    </row>
    <row r="6" spans="1:72" ht="15.75" hidden="1" thickBot="1" x14ac:dyDescent="0.3">
      <c r="B6" s="28"/>
      <c r="C6" s="28"/>
      <c r="D6" s="28"/>
      <c r="E6" s="28"/>
      <c r="F6" s="40"/>
      <c r="G6" s="44" t="s">
        <v>94</v>
      </c>
      <c r="H6" s="28" t="s">
        <v>95</v>
      </c>
      <c r="I6" s="45" t="s">
        <v>96</v>
      </c>
      <c r="J6" s="235" t="s">
        <v>123</v>
      </c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7"/>
      <c r="V6" s="83"/>
      <c r="W6" s="235" t="s">
        <v>103</v>
      </c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7"/>
      <c r="AI6" s="236" t="s">
        <v>99</v>
      </c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7"/>
      <c r="AU6" s="235" t="s">
        <v>24</v>
      </c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5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7"/>
      <c r="BS6" s="36"/>
      <c r="BT6" s="28"/>
    </row>
    <row r="7" spans="1:72" ht="21" hidden="1" customHeight="1" x14ac:dyDescent="0.25">
      <c r="A7" s="246" t="s">
        <v>121</v>
      </c>
      <c r="B7" s="29" t="s">
        <v>50</v>
      </c>
      <c r="C7" s="30">
        <v>64</v>
      </c>
      <c r="D7" s="30">
        <v>154.69999999999999</v>
      </c>
      <c r="E7" s="30"/>
      <c r="F7" s="41"/>
      <c r="G7" s="46">
        <v>0.95</v>
      </c>
      <c r="H7" s="30">
        <v>7.6999999999999999E-2</v>
      </c>
      <c r="I7" s="47">
        <v>9.1999999999999998E-2</v>
      </c>
      <c r="J7" s="46">
        <f>W7*$BT7</f>
        <v>2583000</v>
      </c>
      <c r="K7" s="130">
        <f t="shared" ref="K7:U12" si="0">X7*$BT7</f>
        <v>2066400</v>
      </c>
      <c r="L7" s="130">
        <f t="shared" si="0"/>
        <v>1808100</v>
      </c>
      <c r="M7" s="130">
        <f t="shared" si="0"/>
        <v>1291500</v>
      </c>
      <c r="N7" s="130">
        <f t="shared" si="0"/>
        <v>1291500</v>
      </c>
      <c r="O7" s="130">
        <f t="shared" si="0"/>
        <v>1033200</v>
      </c>
      <c r="P7" s="130">
        <f t="shared" si="0"/>
        <v>1033200</v>
      </c>
      <c r="Q7" s="130">
        <f t="shared" si="0"/>
        <v>774900</v>
      </c>
      <c r="R7" s="130">
        <f t="shared" si="0"/>
        <v>516600</v>
      </c>
      <c r="S7" s="130">
        <f t="shared" si="0"/>
        <v>516600</v>
      </c>
      <c r="T7" s="130">
        <f t="shared" si="0"/>
        <v>516600</v>
      </c>
      <c r="U7" s="71">
        <f t="shared" si="0"/>
        <v>258300</v>
      </c>
      <c r="V7" s="82">
        <f>MIN(J7:U7)</f>
        <v>258300</v>
      </c>
      <c r="W7" s="46">
        <f>IF(ROUND(('Расчет 3Р'!$D$5/AI7),0)=0,1,CEILING(('Расчет 3Р'!$D$5),1))*IF(ROUND(('Расчет 3Р'!$E$5/AU7),0)=0,1,CEILING(('Расчет 3Р'!$E$5/AU7),1))*IF(ROUND(('Расчет 3Р'!$C$5/$D7),0)=0,1,CEILING(('Расчет 3Р'!$C$5/$D7),1))</f>
        <v>700</v>
      </c>
      <c r="X7" s="46">
        <f>IF(ROUND(('Расчет 3Р'!$D$5/AJ7),0)=0,1,CEILING(('Расчет 3Р'!$D$5),1))*IF(ROUND(('Расчет 3Р'!$E$5/AV7),0)=0,1,CEILING(('Расчет 3Р'!$E$5/AV7),1))*IF(ROUND(('Расчет 3Р'!$C$5/$D7),0)=0,1,CEILING(('Расчет 3Р'!$C$5/$D7),1))</f>
        <v>560</v>
      </c>
      <c r="Y7" s="46">
        <f>IF(ROUND(('Расчет 3Р'!$D$5/AK7),0)=0,1,CEILING(('Расчет 3Р'!$D$5),1))*IF(ROUND(('Расчет 3Р'!$E$5/AW7),0)=0,1,CEILING(('Расчет 3Р'!$E$5/AW7),1))*IF(ROUND(('Расчет 3Р'!$C$5/$D7),0)=0,1,CEILING(('Расчет 3Р'!$C$5/$D7),1))</f>
        <v>490</v>
      </c>
      <c r="Z7" s="46">
        <f>IF(ROUND(('Расчет 3Р'!$D$5/AL7),0)=0,1,CEILING(('Расчет 3Р'!$D$5),1))*IF(ROUND(('Расчет 3Р'!$E$5/AX7),0)=0,1,CEILING(('Расчет 3Р'!$E$5/AX7),1))*IF(ROUND(('Расчет 3Р'!$C$5/$D7),0)=0,1,CEILING(('Расчет 3Р'!$C$5/$D7),1))</f>
        <v>350</v>
      </c>
      <c r="AA7" s="46">
        <f>IF(ROUND(('Расчет 3Р'!$D$5/AM7),0)=0,1,CEILING(('Расчет 3Р'!$D$5),1))*IF(ROUND(('Расчет 3Р'!$E$5/AY7),0)=0,1,CEILING(('Расчет 3Р'!$E$5/AY7),1))*IF(ROUND(('Расчет 3Р'!$C$5/$D7),0)=0,1,CEILING(('Расчет 3Р'!$C$5/$D7),1))</f>
        <v>350</v>
      </c>
      <c r="AB7" s="46">
        <f>IF(ROUND(('Расчет 3Р'!$D$5/AN7),0)=0,1,CEILING(('Расчет 3Р'!$D$5),1))*IF(ROUND(('Расчет 3Р'!$E$5/AZ7),0)=0,1,CEILING(('Расчет 3Р'!$E$5/AZ7),1))*IF(ROUND(('Расчет 3Р'!$C$5/$D7),0)=0,1,CEILING(('Расчет 3Р'!$C$5/$D7),1))</f>
        <v>280</v>
      </c>
      <c r="AC7" s="46">
        <f>IF(ROUND(('Расчет 3Р'!$D$5/AO7),0)=0,1,CEILING(('Расчет 3Р'!$D$5),1))*IF(ROUND(('Расчет 3Р'!$E$5/BA7),0)=0,1,CEILING(('Расчет 3Р'!$E$5/BA7),1))*IF(ROUND(('Расчет 3Р'!$C$5/$D7),0)=0,1,CEILING(('Расчет 3Р'!$C$5/$D7),1))</f>
        <v>280</v>
      </c>
      <c r="AD7" s="46">
        <f>IF(ROUND(('Расчет 3Р'!$D$5/AP7),0)=0,1,CEILING(('Расчет 3Р'!$D$5),1))*IF(ROUND(('Расчет 3Р'!$E$5/BB7),0)=0,1,CEILING(('Расчет 3Р'!$E$5/BB7),1))*IF(ROUND(('Расчет 3Р'!$C$5/$D7),0)=0,1,CEILING(('Расчет 3Р'!$C$5/$D7),1))</f>
        <v>210</v>
      </c>
      <c r="AE7" s="46">
        <f>IF(ROUND(('Расчет 3Р'!$D$5/AQ7),0)=0,1,CEILING(('Расчет 3Р'!$D$5),1))*IF(ROUND(('Расчет 3Р'!$E$5/BC7),0)=0,1,CEILING(('Расчет 3Р'!$E$5/BC7),1))*IF(ROUND(('Расчет 3Р'!$C$5/$D7),0)=0,1,CEILING(('Расчет 3Р'!$C$5/$D7),1))</f>
        <v>140</v>
      </c>
      <c r="AF7" s="46">
        <f>IF(ROUND(('Расчет 3Р'!$D$5/AR7),0)=0,1,CEILING(('Расчет 3Р'!$D$5),1))*IF(ROUND(('Расчет 3Р'!$E$5/BD7),0)=0,1,CEILING(('Расчет 3Р'!$E$5/BD7),1))*IF(ROUND(('Расчет 3Р'!$C$5/$D7),0)=0,1,CEILING(('Расчет 3Р'!$C$5/$D7),1))</f>
        <v>140</v>
      </c>
      <c r="AG7" s="46">
        <f>IF(ROUND(('Расчет 3Р'!$D$5/AS7),0)=0,1,CEILING(('Расчет 3Р'!$D$5),1))*IF(ROUND(('Расчет 3Р'!$E$5/BE7),0)=0,1,CEILING(('Расчет 3Р'!$E$5/BE7),1))*IF(ROUND(('Расчет 3Р'!$C$5/$D7),0)=0,1,CEILING(('Расчет 3Р'!$C$5/$D7),1))</f>
        <v>140</v>
      </c>
      <c r="AH7" s="46">
        <f>IF(ROUND(('Расчет 3Р'!$D$5/AT7),0)=0,1,CEILING(('Расчет 3Р'!$D$5),1))*IF(ROUND(('Расчет 3Р'!$E$5/BF7),0)=0,1,CEILING(('Расчет 3Р'!$E$5/BF7),1))*IF(ROUND(('Расчет 3Р'!$C$5/$D7),0)=0,1,CEILING(('Расчет 3Р'!$C$5/$D7),1))</f>
        <v>70</v>
      </c>
      <c r="AI7" s="130">
        <f t="shared" ref="AI7:AT12" si="1">ROUND(((AI$5*TAN(3.14*2*$C$23/720))*2+$G7),1)</f>
        <v>1.5</v>
      </c>
      <c r="AJ7" s="130">
        <f t="shared" si="1"/>
        <v>1.6</v>
      </c>
      <c r="AK7" s="130">
        <f t="shared" si="1"/>
        <v>1.8</v>
      </c>
      <c r="AL7" s="130">
        <f t="shared" si="1"/>
        <v>2</v>
      </c>
      <c r="AM7" s="130">
        <f t="shared" si="1"/>
        <v>2.1</v>
      </c>
      <c r="AN7" s="130">
        <f t="shared" si="1"/>
        <v>2.2999999999999998</v>
      </c>
      <c r="AO7" s="130">
        <f t="shared" si="1"/>
        <v>2.5</v>
      </c>
      <c r="AP7" s="130">
        <f t="shared" si="1"/>
        <v>2.6</v>
      </c>
      <c r="AQ7" s="130">
        <f t="shared" si="1"/>
        <v>3.5</v>
      </c>
      <c r="AR7" s="130">
        <f t="shared" si="1"/>
        <v>4.3</v>
      </c>
      <c r="AS7" s="130">
        <f t="shared" si="1"/>
        <v>5.0999999999999996</v>
      </c>
      <c r="AT7" s="130">
        <f t="shared" si="1"/>
        <v>6</v>
      </c>
      <c r="AU7" s="46">
        <f t="shared" ref="AU7:BF12" si="2">ROUND(((AU$5*TAN(3.14*2*$C$23/720))*2),1)</f>
        <v>0.5</v>
      </c>
      <c r="AV7" s="46">
        <f t="shared" si="2"/>
        <v>0.7</v>
      </c>
      <c r="AW7" s="46">
        <f t="shared" si="2"/>
        <v>0.8</v>
      </c>
      <c r="AX7" s="46">
        <f t="shared" si="2"/>
        <v>1</v>
      </c>
      <c r="AY7" s="46">
        <f t="shared" si="2"/>
        <v>1.2</v>
      </c>
      <c r="AZ7" s="46">
        <f t="shared" si="2"/>
        <v>1.3</v>
      </c>
      <c r="BA7" s="46">
        <f t="shared" si="2"/>
        <v>1.5</v>
      </c>
      <c r="BB7" s="46">
        <f t="shared" si="2"/>
        <v>1.7</v>
      </c>
      <c r="BC7" s="46">
        <f t="shared" si="2"/>
        <v>2.5</v>
      </c>
      <c r="BD7" s="46">
        <f t="shared" si="2"/>
        <v>3.4</v>
      </c>
      <c r="BE7" s="46">
        <f t="shared" si="2"/>
        <v>4.2</v>
      </c>
      <c r="BF7" s="46">
        <f t="shared" si="2"/>
        <v>5</v>
      </c>
      <c r="BG7" s="46">
        <f t="shared" ref="BG7:BR8" si="3">$D7/(AU7*AI7)</f>
        <v>206.26666666666665</v>
      </c>
      <c r="BH7" s="30">
        <f t="shared" si="3"/>
        <v>138.125</v>
      </c>
      <c r="BI7" s="30">
        <f t="shared" si="3"/>
        <v>107.43055555555553</v>
      </c>
      <c r="BJ7" s="30">
        <f t="shared" si="3"/>
        <v>77.349999999999994</v>
      </c>
      <c r="BK7" s="30">
        <f t="shared" si="3"/>
        <v>61.388888888888886</v>
      </c>
      <c r="BL7" s="30">
        <f t="shared" si="3"/>
        <v>51.739130434782609</v>
      </c>
      <c r="BM7" s="30">
        <f t="shared" si="3"/>
        <v>41.25333333333333</v>
      </c>
      <c r="BN7" s="30">
        <f t="shared" si="3"/>
        <v>35</v>
      </c>
      <c r="BO7" s="30">
        <f t="shared" si="3"/>
        <v>17.68</v>
      </c>
      <c r="BP7" s="30">
        <f t="shared" si="3"/>
        <v>10.581395348837209</v>
      </c>
      <c r="BQ7" s="30">
        <f t="shared" si="3"/>
        <v>7.2222222222222223</v>
      </c>
      <c r="BR7" s="47">
        <f t="shared" si="3"/>
        <v>5.1566666666666663</v>
      </c>
      <c r="BS7" s="130" t="s">
        <v>33</v>
      </c>
      <c r="BT7" s="31">
        <v>3690</v>
      </c>
    </row>
    <row r="8" spans="1:72" ht="21" hidden="1" customHeight="1" thickBot="1" x14ac:dyDescent="0.3">
      <c r="A8" s="246"/>
      <c r="B8" s="29" t="s">
        <v>125</v>
      </c>
      <c r="C8" s="33">
        <v>64</v>
      </c>
      <c r="D8" s="30">
        <v>150.94999999999999</v>
      </c>
      <c r="E8" s="33"/>
      <c r="F8" s="41"/>
      <c r="G8" s="46">
        <v>0.95</v>
      </c>
      <c r="H8" s="30">
        <v>7.6999999999999999E-2</v>
      </c>
      <c r="I8" s="47">
        <v>9.1999999999999998E-2</v>
      </c>
      <c r="J8" s="46">
        <f t="shared" ref="J8:J12" si="4">W8*$BT8</f>
        <v>3143000</v>
      </c>
      <c r="K8" s="130">
        <f t="shared" si="0"/>
        <v>2514400</v>
      </c>
      <c r="L8" s="130">
        <f t="shared" si="0"/>
        <v>2200100</v>
      </c>
      <c r="M8" s="130">
        <f t="shared" si="0"/>
        <v>1571500</v>
      </c>
      <c r="N8" s="130">
        <f t="shared" si="0"/>
        <v>1571500</v>
      </c>
      <c r="O8" s="130">
        <f t="shared" si="0"/>
        <v>1257200</v>
      </c>
      <c r="P8" s="130">
        <f t="shared" si="0"/>
        <v>1257200</v>
      </c>
      <c r="Q8" s="130">
        <f t="shared" si="0"/>
        <v>942900</v>
      </c>
      <c r="R8" s="130">
        <f t="shared" si="0"/>
        <v>628600</v>
      </c>
      <c r="S8" s="130">
        <f t="shared" si="0"/>
        <v>628600</v>
      </c>
      <c r="T8" s="130">
        <f t="shared" si="0"/>
        <v>628600</v>
      </c>
      <c r="U8" s="71">
        <f t="shared" si="0"/>
        <v>314300</v>
      </c>
      <c r="V8" s="68">
        <f t="shared" ref="V8:V12" si="5">MIN(J8:U8)</f>
        <v>314300</v>
      </c>
      <c r="W8" s="46">
        <f>IF(ROUND(('Расчет 3Р'!$D$5/AI8),0)=0,1,CEILING(('Расчет 3Р'!$D$5),1))*IF(ROUND(('Расчет 3Р'!$E$5/AU8),0)=0,1,CEILING(('Расчет 3Р'!$E$5/AU8),1))*IF(ROUND(('Расчет 3Р'!$C$5/$D8),0)=0,1,CEILING(('Расчет 3Р'!$C$5/$D8),1))</f>
        <v>700</v>
      </c>
      <c r="X8" s="46">
        <f>IF(ROUND(('Расчет 3Р'!$D$5/AJ8),0)=0,1,CEILING(('Расчет 3Р'!$D$5),1))*IF(ROUND(('Расчет 3Р'!$E$5/AV8),0)=0,1,CEILING(('Расчет 3Р'!$E$5/AV8),1))*IF(ROUND(('Расчет 3Р'!$C$5/$D8),0)=0,1,CEILING(('Расчет 3Р'!$C$5/$D8),1))</f>
        <v>560</v>
      </c>
      <c r="Y8" s="46">
        <f>IF(ROUND(('Расчет 3Р'!$D$5/AK8),0)=0,1,CEILING(('Расчет 3Р'!$D$5),1))*IF(ROUND(('Расчет 3Р'!$E$5/AW8),0)=0,1,CEILING(('Расчет 3Р'!$E$5/AW8),1))*IF(ROUND(('Расчет 3Р'!$C$5/$D8),0)=0,1,CEILING(('Расчет 3Р'!$C$5/$D8),1))</f>
        <v>490</v>
      </c>
      <c r="Z8" s="46">
        <f>IF(ROUND(('Расчет 3Р'!$D$5/AL8),0)=0,1,CEILING(('Расчет 3Р'!$D$5),1))*IF(ROUND(('Расчет 3Р'!$E$5/AX8),0)=0,1,CEILING(('Расчет 3Р'!$E$5/AX8),1))*IF(ROUND(('Расчет 3Р'!$C$5/$D8),0)=0,1,CEILING(('Расчет 3Р'!$C$5/$D8),1))</f>
        <v>350</v>
      </c>
      <c r="AA8" s="46">
        <f>IF(ROUND(('Расчет 3Р'!$D$5/AM8),0)=0,1,CEILING(('Расчет 3Р'!$D$5),1))*IF(ROUND(('Расчет 3Р'!$E$5/AY8),0)=0,1,CEILING(('Расчет 3Р'!$E$5/AY8),1))*IF(ROUND(('Расчет 3Р'!$C$5/$D8),0)=0,1,CEILING(('Расчет 3Р'!$C$5/$D8),1))</f>
        <v>350</v>
      </c>
      <c r="AB8" s="46">
        <f>IF(ROUND(('Расчет 3Р'!$D$5/AN8),0)=0,1,CEILING(('Расчет 3Р'!$D$5),1))*IF(ROUND(('Расчет 3Р'!$E$5/AZ8),0)=0,1,CEILING(('Расчет 3Р'!$E$5/AZ8),1))*IF(ROUND(('Расчет 3Р'!$C$5/$D8),0)=0,1,CEILING(('Расчет 3Р'!$C$5/$D8),1))</f>
        <v>280</v>
      </c>
      <c r="AC8" s="46">
        <f>IF(ROUND(('Расчет 3Р'!$D$5/AO8),0)=0,1,CEILING(('Расчет 3Р'!$D$5),1))*IF(ROUND(('Расчет 3Р'!$E$5/BA8),0)=0,1,CEILING(('Расчет 3Р'!$E$5/BA8),1))*IF(ROUND(('Расчет 3Р'!$C$5/$D8),0)=0,1,CEILING(('Расчет 3Р'!$C$5/$D8),1))</f>
        <v>280</v>
      </c>
      <c r="AD8" s="46">
        <f>IF(ROUND(('Расчет 3Р'!$D$5/AP8),0)=0,1,CEILING(('Расчет 3Р'!$D$5),1))*IF(ROUND(('Расчет 3Р'!$E$5/BB8),0)=0,1,CEILING(('Расчет 3Р'!$E$5/BB8),1))*IF(ROUND(('Расчет 3Р'!$C$5/$D8),0)=0,1,CEILING(('Расчет 3Р'!$C$5/$D8),1))</f>
        <v>210</v>
      </c>
      <c r="AE8" s="46">
        <f>IF(ROUND(('Расчет 3Р'!$D$5/AQ8),0)=0,1,CEILING(('Расчет 3Р'!$D$5),1))*IF(ROUND(('Расчет 3Р'!$E$5/BC8),0)=0,1,CEILING(('Расчет 3Р'!$E$5/BC8),1))*IF(ROUND(('Расчет 3Р'!$C$5/$D8),0)=0,1,CEILING(('Расчет 3Р'!$C$5/$D8),1))</f>
        <v>140</v>
      </c>
      <c r="AF8" s="46">
        <f>IF(ROUND(('Расчет 3Р'!$D$5/AR8),0)=0,1,CEILING(('Расчет 3Р'!$D$5),1))*IF(ROUND(('Расчет 3Р'!$E$5/BD8),0)=0,1,CEILING(('Расчет 3Р'!$E$5/BD8),1))*IF(ROUND(('Расчет 3Р'!$C$5/$D8),0)=0,1,CEILING(('Расчет 3Р'!$C$5/$D8),1))</f>
        <v>140</v>
      </c>
      <c r="AG8" s="46">
        <f>IF(ROUND(('Расчет 3Р'!$D$5/AS8),0)=0,1,CEILING(('Расчет 3Р'!$D$5),1))*IF(ROUND(('Расчет 3Р'!$E$5/BE8),0)=0,1,CEILING(('Расчет 3Р'!$E$5/BE8),1))*IF(ROUND(('Расчет 3Р'!$C$5/$D8),0)=0,1,CEILING(('Расчет 3Р'!$C$5/$D8),1))</f>
        <v>140</v>
      </c>
      <c r="AH8" s="46">
        <f>IF(ROUND(('Расчет 3Р'!$D$5/AT8),0)=0,1,CEILING(('Расчет 3Р'!$D$5),1))*IF(ROUND(('Расчет 3Р'!$E$5/BF8),0)=0,1,CEILING(('Расчет 3Р'!$E$5/BF8),1))*IF(ROUND(('Расчет 3Р'!$C$5/$D8),0)=0,1,CEILING(('Расчет 3Р'!$C$5/$D8),1))</f>
        <v>70</v>
      </c>
      <c r="AI8" s="130">
        <f t="shared" si="1"/>
        <v>1.5</v>
      </c>
      <c r="AJ8" s="130">
        <f t="shared" si="1"/>
        <v>1.6</v>
      </c>
      <c r="AK8" s="130">
        <f t="shared" si="1"/>
        <v>1.8</v>
      </c>
      <c r="AL8" s="130">
        <f t="shared" si="1"/>
        <v>2</v>
      </c>
      <c r="AM8" s="130">
        <f t="shared" si="1"/>
        <v>2.1</v>
      </c>
      <c r="AN8" s="130">
        <f t="shared" si="1"/>
        <v>2.2999999999999998</v>
      </c>
      <c r="AO8" s="130">
        <f t="shared" si="1"/>
        <v>2.5</v>
      </c>
      <c r="AP8" s="130">
        <f t="shared" si="1"/>
        <v>2.6</v>
      </c>
      <c r="AQ8" s="130">
        <f t="shared" si="1"/>
        <v>3.5</v>
      </c>
      <c r="AR8" s="130">
        <f t="shared" si="1"/>
        <v>4.3</v>
      </c>
      <c r="AS8" s="130">
        <f t="shared" si="1"/>
        <v>5.0999999999999996</v>
      </c>
      <c r="AT8" s="130">
        <f t="shared" si="1"/>
        <v>6</v>
      </c>
      <c r="AU8" s="46">
        <f t="shared" si="2"/>
        <v>0.5</v>
      </c>
      <c r="AV8" s="46">
        <f t="shared" si="2"/>
        <v>0.7</v>
      </c>
      <c r="AW8" s="46">
        <f t="shared" si="2"/>
        <v>0.8</v>
      </c>
      <c r="AX8" s="46">
        <f t="shared" si="2"/>
        <v>1</v>
      </c>
      <c r="AY8" s="46">
        <f t="shared" si="2"/>
        <v>1.2</v>
      </c>
      <c r="AZ8" s="46">
        <f t="shared" si="2"/>
        <v>1.3</v>
      </c>
      <c r="BA8" s="46">
        <f t="shared" si="2"/>
        <v>1.5</v>
      </c>
      <c r="BB8" s="46">
        <f t="shared" si="2"/>
        <v>1.7</v>
      </c>
      <c r="BC8" s="46">
        <f t="shared" si="2"/>
        <v>2.5</v>
      </c>
      <c r="BD8" s="46">
        <f t="shared" si="2"/>
        <v>3.4</v>
      </c>
      <c r="BE8" s="46">
        <f t="shared" si="2"/>
        <v>4.2</v>
      </c>
      <c r="BF8" s="46">
        <f t="shared" si="2"/>
        <v>5</v>
      </c>
      <c r="BG8" s="46">
        <f t="shared" si="3"/>
        <v>201.26666666666665</v>
      </c>
      <c r="BH8" s="30">
        <f t="shared" si="3"/>
        <v>134.77678571428572</v>
      </c>
      <c r="BI8" s="30">
        <f t="shared" si="3"/>
        <v>104.82638888888887</v>
      </c>
      <c r="BJ8" s="30">
        <f t="shared" si="3"/>
        <v>75.474999999999994</v>
      </c>
      <c r="BK8" s="30">
        <f t="shared" si="3"/>
        <v>59.900793650793645</v>
      </c>
      <c r="BL8" s="30">
        <f t="shared" si="3"/>
        <v>50.484949832775918</v>
      </c>
      <c r="BM8" s="30">
        <f t="shared" si="3"/>
        <v>40.25333333333333</v>
      </c>
      <c r="BN8" s="30">
        <f t="shared" si="3"/>
        <v>34.151583710407238</v>
      </c>
      <c r="BO8" s="30">
        <f t="shared" si="3"/>
        <v>17.251428571428569</v>
      </c>
      <c r="BP8" s="30">
        <f t="shared" si="3"/>
        <v>10.324897400820793</v>
      </c>
      <c r="BQ8" s="30">
        <f t="shared" si="3"/>
        <v>7.0471521942110176</v>
      </c>
      <c r="BR8" s="47">
        <f t="shared" si="3"/>
        <v>5.0316666666666663</v>
      </c>
      <c r="BS8" s="54" t="s">
        <v>75</v>
      </c>
      <c r="BT8" s="34">
        <v>4490</v>
      </c>
    </row>
    <row r="9" spans="1:72" ht="21" hidden="1" customHeight="1" x14ac:dyDescent="0.25">
      <c r="A9" s="246"/>
      <c r="B9" s="29" t="s">
        <v>54</v>
      </c>
      <c r="C9" s="30">
        <v>64</v>
      </c>
      <c r="D9" s="30">
        <v>150.44999999999999</v>
      </c>
      <c r="E9" s="30"/>
      <c r="F9" s="41"/>
      <c r="G9" s="46">
        <v>0.95</v>
      </c>
      <c r="H9" s="30">
        <v>7.6999999999999999E-2</v>
      </c>
      <c r="I9" s="47">
        <v>9.1999999999999998E-2</v>
      </c>
      <c r="J9" s="76">
        <f t="shared" si="4"/>
        <v>3143000</v>
      </c>
      <c r="K9" s="129">
        <f t="shared" si="0"/>
        <v>2514400</v>
      </c>
      <c r="L9" s="129">
        <f t="shared" si="0"/>
        <v>2200100</v>
      </c>
      <c r="M9" s="129">
        <f t="shared" si="0"/>
        <v>1571500</v>
      </c>
      <c r="N9" s="129">
        <f t="shared" si="0"/>
        <v>1571500</v>
      </c>
      <c r="O9" s="129">
        <f t="shared" si="0"/>
        <v>1257200</v>
      </c>
      <c r="P9" s="129">
        <f t="shared" si="0"/>
        <v>1257200</v>
      </c>
      <c r="Q9" s="129">
        <f t="shared" si="0"/>
        <v>942900</v>
      </c>
      <c r="R9" s="129">
        <f t="shared" si="0"/>
        <v>628600</v>
      </c>
      <c r="S9" s="129">
        <f t="shared" si="0"/>
        <v>628600</v>
      </c>
      <c r="T9" s="129">
        <f t="shared" si="0"/>
        <v>628600</v>
      </c>
      <c r="U9" s="78">
        <f t="shared" si="0"/>
        <v>314300</v>
      </c>
      <c r="V9" s="82">
        <f t="shared" si="5"/>
        <v>314300</v>
      </c>
      <c r="W9" s="46">
        <f>IF(ROUND(('Расчет 3Р'!$D$5/AI9),0)=0,1,CEILING(('Расчет 3Р'!$D$5),1))*IF(ROUND(('Расчет 3Р'!$E$5/AU9),0)=0,1,CEILING(('Расчет 3Р'!$E$5/AU9),1))*IF(ROUND(('Расчет 3Р'!$C$5/$D9),0)=0,1,CEILING(('Расчет 3Р'!$C$5/$D9),1))</f>
        <v>700</v>
      </c>
      <c r="X9" s="46">
        <f>IF(ROUND(('Расчет 3Р'!$D$5/AJ9),0)=0,1,CEILING(('Расчет 3Р'!$D$5),1))*IF(ROUND(('Расчет 3Р'!$E$5/AV9),0)=0,1,CEILING(('Расчет 3Р'!$E$5/AV9),1))*IF(ROUND(('Расчет 3Р'!$C$5/$D9),0)=0,1,CEILING(('Расчет 3Р'!$C$5/$D9),1))</f>
        <v>560</v>
      </c>
      <c r="Y9" s="46">
        <f>IF(ROUND(('Расчет 3Р'!$D$5/AK9),0)=0,1,CEILING(('Расчет 3Р'!$D$5),1))*IF(ROUND(('Расчет 3Р'!$E$5/AW9),0)=0,1,CEILING(('Расчет 3Р'!$E$5/AW9),1))*IF(ROUND(('Расчет 3Р'!$C$5/$D9),0)=0,1,CEILING(('Расчет 3Р'!$C$5/$D9),1))</f>
        <v>490</v>
      </c>
      <c r="Z9" s="46">
        <f>IF(ROUND(('Расчет 3Р'!$D$5/AL9),0)=0,1,CEILING(('Расчет 3Р'!$D$5),1))*IF(ROUND(('Расчет 3Р'!$E$5/AX9),0)=0,1,CEILING(('Расчет 3Р'!$E$5/AX9),1))*IF(ROUND(('Расчет 3Р'!$C$5/$D9),0)=0,1,CEILING(('Расчет 3Р'!$C$5/$D9),1))</f>
        <v>350</v>
      </c>
      <c r="AA9" s="46">
        <f>IF(ROUND(('Расчет 3Р'!$D$5/AM9),0)=0,1,CEILING(('Расчет 3Р'!$D$5),1))*IF(ROUND(('Расчет 3Р'!$E$5/AY9),0)=0,1,CEILING(('Расчет 3Р'!$E$5/AY9),1))*IF(ROUND(('Расчет 3Р'!$C$5/$D9),0)=0,1,CEILING(('Расчет 3Р'!$C$5/$D9),1))</f>
        <v>350</v>
      </c>
      <c r="AB9" s="46">
        <f>IF(ROUND(('Расчет 3Р'!$D$5/AN9),0)=0,1,CEILING(('Расчет 3Р'!$D$5),1))*IF(ROUND(('Расчет 3Р'!$E$5/AZ9),0)=0,1,CEILING(('Расчет 3Р'!$E$5/AZ9),1))*IF(ROUND(('Расчет 3Р'!$C$5/$D9),0)=0,1,CEILING(('Расчет 3Р'!$C$5/$D9),1))</f>
        <v>280</v>
      </c>
      <c r="AC9" s="46">
        <f>IF(ROUND(('Расчет 3Р'!$D$5/AO9),0)=0,1,CEILING(('Расчет 3Р'!$D$5),1))*IF(ROUND(('Расчет 3Р'!$E$5/BA9),0)=0,1,CEILING(('Расчет 3Р'!$E$5/BA9),1))*IF(ROUND(('Расчет 3Р'!$C$5/$D9),0)=0,1,CEILING(('Расчет 3Р'!$C$5/$D9),1))</f>
        <v>280</v>
      </c>
      <c r="AD9" s="46">
        <f>IF(ROUND(('Расчет 3Р'!$D$5/AP9),0)=0,1,CEILING(('Расчет 3Р'!$D$5),1))*IF(ROUND(('Расчет 3Р'!$E$5/BB9),0)=0,1,CEILING(('Расчет 3Р'!$E$5/BB9),1))*IF(ROUND(('Расчет 3Р'!$C$5/$D9),0)=0,1,CEILING(('Расчет 3Р'!$C$5/$D9),1))</f>
        <v>210</v>
      </c>
      <c r="AE9" s="46">
        <f>IF(ROUND(('Расчет 3Р'!$D$5/AQ9),0)=0,1,CEILING(('Расчет 3Р'!$D$5),1))*IF(ROUND(('Расчет 3Р'!$E$5/BC9),0)=0,1,CEILING(('Расчет 3Р'!$E$5/BC9),1))*IF(ROUND(('Расчет 3Р'!$C$5/$D9),0)=0,1,CEILING(('Расчет 3Р'!$C$5/$D9),1))</f>
        <v>140</v>
      </c>
      <c r="AF9" s="46">
        <f>IF(ROUND(('Расчет 3Р'!$D$5/AR9),0)=0,1,CEILING(('Расчет 3Р'!$D$5),1))*IF(ROUND(('Расчет 3Р'!$E$5/BD9),0)=0,1,CEILING(('Расчет 3Р'!$E$5/BD9),1))*IF(ROUND(('Расчет 3Р'!$C$5/$D9),0)=0,1,CEILING(('Расчет 3Р'!$C$5/$D9),1))</f>
        <v>140</v>
      </c>
      <c r="AG9" s="46">
        <f>IF(ROUND(('Расчет 3Р'!$D$5/AS9),0)=0,1,CEILING(('Расчет 3Р'!$D$5),1))*IF(ROUND(('Расчет 3Р'!$E$5/BE9),0)=0,1,CEILING(('Расчет 3Р'!$E$5/BE9),1))*IF(ROUND(('Расчет 3Р'!$C$5/$D9),0)=0,1,CEILING(('Расчет 3Р'!$C$5/$D9),1))</f>
        <v>140</v>
      </c>
      <c r="AH9" s="46">
        <f>IF(ROUND(('Расчет 3Р'!$D$5/AT9),0)=0,1,CEILING(('Расчет 3Р'!$D$5),1))*IF(ROUND(('Расчет 3Р'!$E$5/BF9),0)=0,1,CEILING(('Расчет 3Р'!$E$5/BF9),1))*IF(ROUND(('Расчет 3Р'!$C$5/$D9),0)=0,1,CEILING(('Расчет 3Р'!$C$5/$D9),1))</f>
        <v>70</v>
      </c>
      <c r="AI9" s="130">
        <f t="shared" si="1"/>
        <v>1.5</v>
      </c>
      <c r="AJ9" s="130">
        <f t="shared" si="1"/>
        <v>1.6</v>
      </c>
      <c r="AK9" s="130">
        <f t="shared" si="1"/>
        <v>1.8</v>
      </c>
      <c r="AL9" s="130">
        <f t="shared" si="1"/>
        <v>2</v>
      </c>
      <c r="AM9" s="130">
        <f t="shared" si="1"/>
        <v>2.1</v>
      </c>
      <c r="AN9" s="130">
        <f t="shared" si="1"/>
        <v>2.2999999999999998</v>
      </c>
      <c r="AO9" s="130">
        <f t="shared" si="1"/>
        <v>2.5</v>
      </c>
      <c r="AP9" s="130">
        <f t="shared" si="1"/>
        <v>2.6</v>
      </c>
      <c r="AQ9" s="130">
        <f t="shared" si="1"/>
        <v>3.5</v>
      </c>
      <c r="AR9" s="130">
        <f t="shared" si="1"/>
        <v>4.3</v>
      </c>
      <c r="AS9" s="130">
        <f t="shared" si="1"/>
        <v>5.0999999999999996</v>
      </c>
      <c r="AT9" s="130">
        <f t="shared" si="1"/>
        <v>6</v>
      </c>
      <c r="AU9" s="46">
        <f t="shared" si="2"/>
        <v>0.5</v>
      </c>
      <c r="AV9" s="46">
        <f t="shared" si="2"/>
        <v>0.7</v>
      </c>
      <c r="AW9" s="46">
        <f t="shared" si="2"/>
        <v>0.8</v>
      </c>
      <c r="AX9" s="46">
        <f t="shared" si="2"/>
        <v>1</v>
      </c>
      <c r="AY9" s="46">
        <f t="shared" si="2"/>
        <v>1.2</v>
      </c>
      <c r="AZ9" s="46">
        <f t="shared" si="2"/>
        <v>1.3</v>
      </c>
      <c r="BA9" s="46">
        <f t="shared" si="2"/>
        <v>1.5</v>
      </c>
      <c r="BB9" s="46">
        <f t="shared" si="2"/>
        <v>1.7</v>
      </c>
      <c r="BC9" s="46">
        <f t="shared" si="2"/>
        <v>2.5</v>
      </c>
      <c r="BD9" s="46">
        <f t="shared" si="2"/>
        <v>3.4</v>
      </c>
      <c r="BE9" s="46">
        <f t="shared" si="2"/>
        <v>4.2</v>
      </c>
      <c r="BF9" s="46">
        <f t="shared" si="2"/>
        <v>5</v>
      </c>
      <c r="BG9" s="46">
        <f t="shared" ref="BG9:BR12" si="6">$D9/(AU9*AI9)</f>
        <v>200.6</v>
      </c>
      <c r="BH9" s="30">
        <f t="shared" si="6"/>
        <v>134.33035714285714</v>
      </c>
      <c r="BI9" s="30">
        <f t="shared" si="6"/>
        <v>104.47916666666664</v>
      </c>
      <c r="BJ9" s="30">
        <f t="shared" si="6"/>
        <v>75.224999999999994</v>
      </c>
      <c r="BK9" s="30">
        <f t="shared" si="6"/>
        <v>59.702380952380949</v>
      </c>
      <c r="BL9" s="30">
        <f t="shared" si="6"/>
        <v>50.317725752508359</v>
      </c>
      <c r="BM9" s="30">
        <f t="shared" si="6"/>
        <v>40.119999999999997</v>
      </c>
      <c r="BN9" s="30">
        <f t="shared" si="6"/>
        <v>34.038461538461533</v>
      </c>
      <c r="BO9" s="30">
        <f t="shared" si="6"/>
        <v>17.194285714285712</v>
      </c>
      <c r="BP9" s="30">
        <f t="shared" si="6"/>
        <v>10.290697674418604</v>
      </c>
      <c r="BQ9" s="30">
        <f t="shared" si="6"/>
        <v>7.0238095238095237</v>
      </c>
      <c r="BR9" s="47">
        <f t="shared" si="6"/>
        <v>5.0149999999999997</v>
      </c>
      <c r="BS9" s="130" t="s">
        <v>75</v>
      </c>
      <c r="BT9" s="31">
        <v>4490</v>
      </c>
    </row>
    <row r="10" spans="1:72" ht="21" hidden="1" customHeight="1" thickBot="1" x14ac:dyDescent="0.3">
      <c r="A10" s="246" t="s">
        <v>122</v>
      </c>
      <c r="B10" s="29" t="s">
        <v>50</v>
      </c>
      <c r="C10" s="33">
        <v>128</v>
      </c>
      <c r="D10" s="30">
        <f>D7*2</f>
        <v>309.39999999999998</v>
      </c>
      <c r="E10" s="33"/>
      <c r="F10" s="41"/>
      <c r="G10" s="48">
        <v>1.85</v>
      </c>
      <c r="H10" s="30">
        <v>7.6999999999999999E-2</v>
      </c>
      <c r="I10" s="47">
        <v>9.1999999999999998E-2</v>
      </c>
      <c r="J10" s="46">
        <f t="shared" si="4"/>
        <v>2196000</v>
      </c>
      <c r="K10" s="130">
        <f t="shared" si="0"/>
        <v>1756800</v>
      </c>
      <c r="L10" s="130">
        <f t="shared" si="0"/>
        <v>1537200</v>
      </c>
      <c r="M10" s="130">
        <f t="shared" si="0"/>
        <v>1098000</v>
      </c>
      <c r="N10" s="130">
        <f t="shared" si="0"/>
        <v>1098000</v>
      </c>
      <c r="O10" s="130">
        <f t="shared" si="0"/>
        <v>878400</v>
      </c>
      <c r="P10" s="130">
        <f t="shared" si="0"/>
        <v>878400</v>
      </c>
      <c r="Q10" s="130">
        <f t="shared" si="0"/>
        <v>658800</v>
      </c>
      <c r="R10" s="130">
        <f t="shared" si="0"/>
        <v>439200</v>
      </c>
      <c r="S10" s="130">
        <f t="shared" si="0"/>
        <v>439200</v>
      </c>
      <c r="T10" s="130">
        <f t="shared" si="0"/>
        <v>439200</v>
      </c>
      <c r="U10" s="71">
        <f t="shared" si="0"/>
        <v>219600</v>
      </c>
      <c r="V10" s="68">
        <f t="shared" si="5"/>
        <v>219600</v>
      </c>
      <c r="W10" s="46">
        <f>IF(ROUND(('Расчет 3Р'!$D$5/AI10),0)=0,1,CEILING(('Расчет 3Р'!$D$5),1))*IF(ROUND(('Расчет 3Р'!$E$5/AU10),0)=0,1,CEILING(('Расчет 3Р'!$E$5/AU10),1))*IF(ROUND(('Расчет 3Р'!$C$5/$D10),0)=0,1,CEILING(('Расчет 3Р'!$C$5/$D10),1))</f>
        <v>400</v>
      </c>
      <c r="X10" s="46">
        <f>IF(ROUND(('Расчет 3Р'!$D$5/AJ10),0)=0,1,CEILING(('Расчет 3Р'!$D$5),1))*IF(ROUND(('Расчет 3Р'!$E$5/AV10),0)=0,1,CEILING(('Расчет 3Р'!$E$5/AV10),1))*IF(ROUND(('Расчет 3Р'!$C$5/$D10),0)=0,1,CEILING(('Расчет 3Р'!$C$5/$D10),1))</f>
        <v>320</v>
      </c>
      <c r="Y10" s="46">
        <f>IF(ROUND(('Расчет 3Р'!$D$5/AK10),0)=0,1,CEILING(('Расчет 3Р'!$D$5),1))*IF(ROUND(('Расчет 3Р'!$E$5/AW10),0)=0,1,CEILING(('Расчет 3Р'!$E$5/AW10),1))*IF(ROUND(('Расчет 3Р'!$C$5/$D10),0)=0,1,CEILING(('Расчет 3Р'!$C$5/$D10),1))</f>
        <v>280</v>
      </c>
      <c r="Z10" s="46">
        <f>IF(ROUND(('Расчет 3Р'!$D$5/AL10),0)=0,1,CEILING(('Расчет 3Р'!$D$5),1))*IF(ROUND(('Расчет 3Р'!$E$5/AX10),0)=0,1,CEILING(('Расчет 3Р'!$E$5/AX10),1))*IF(ROUND(('Расчет 3Р'!$C$5/$D10),0)=0,1,CEILING(('Расчет 3Р'!$C$5/$D10),1))</f>
        <v>200</v>
      </c>
      <c r="AA10" s="46">
        <f>IF(ROUND(('Расчет 3Р'!$D$5/AM10),0)=0,1,CEILING(('Расчет 3Р'!$D$5),1))*IF(ROUND(('Расчет 3Р'!$E$5/AY10),0)=0,1,CEILING(('Расчет 3Р'!$E$5/AY10),1))*IF(ROUND(('Расчет 3Р'!$C$5/$D10),0)=0,1,CEILING(('Расчет 3Р'!$C$5/$D10),1))</f>
        <v>200</v>
      </c>
      <c r="AB10" s="46">
        <f>IF(ROUND(('Расчет 3Р'!$D$5/AN10),0)=0,1,CEILING(('Расчет 3Р'!$D$5),1))*IF(ROUND(('Расчет 3Р'!$E$5/AZ10),0)=0,1,CEILING(('Расчет 3Р'!$E$5/AZ10),1))*IF(ROUND(('Расчет 3Р'!$C$5/$D10),0)=0,1,CEILING(('Расчет 3Р'!$C$5/$D10),1))</f>
        <v>160</v>
      </c>
      <c r="AC10" s="46">
        <f>IF(ROUND(('Расчет 3Р'!$D$5/AO10),0)=0,1,CEILING(('Расчет 3Р'!$D$5),1))*IF(ROUND(('Расчет 3Р'!$E$5/BA10),0)=0,1,CEILING(('Расчет 3Р'!$E$5/BA10),1))*IF(ROUND(('Расчет 3Р'!$C$5/$D10),0)=0,1,CEILING(('Расчет 3Р'!$C$5/$D10),1))</f>
        <v>160</v>
      </c>
      <c r="AD10" s="46">
        <f>IF(ROUND(('Расчет 3Р'!$D$5/AP10),0)=0,1,CEILING(('Расчет 3Р'!$D$5),1))*IF(ROUND(('Расчет 3Р'!$E$5/BB10),0)=0,1,CEILING(('Расчет 3Р'!$E$5/BB10),1))*IF(ROUND(('Расчет 3Р'!$C$5/$D10),0)=0,1,CEILING(('Расчет 3Р'!$C$5/$D10),1))</f>
        <v>120</v>
      </c>
      <c r="AE10" s="46">
        <f>IF(ROUND(('Расчет 3Р'!$D$5/AQ10),0)=0,1,CEILING(('Расчет 3Р'!$D$5),1))*IF(ROUND(('Расчет 3Р'!$E$5/BC10),0)=0,1,CEILING(('Расчет 3Р'!$E$5/BC10),1))*IF(ROUND(('Расчет 3Р'!$C$5/$D10),0)=0,1,CEILING(('Расчет 3Р'!$C$5/$D10),1))</f>
        <v>80</v>
      </c>
      <c r="AF10" s="46">
        <f>IF(ROUND(('Расчет 3Р'!$D$5/AR10),0)=0,1,CEILING(('Расчет 3Р'!$D$5),1))*IF(ROUND(('Расчет 3Р'!$E$5/BD10),0)=0,1,CEILING(('Расчет 3Р'!$E$5/BD10),1))*IF(ROUND(('Расчет 3Р'!$C$5/$D10),0)=0,1,CEILING(('Расчет 3Р'!$C$5/$D10),1))</f>
        <v>80</v>
      </c>
      <c r="AG10" s="46">
        <f>IF(ROUND(('Расчет 3Р'!$D$5/AS10),0)=0,1,CEILING(('Расчет 3Р'!$D$5),1))*IF(ROUND(('Расчет 3Р'!$E$5/BE10),0)=0,1,CEILING(('Расчет 3Р'!$E$5/BE10),1))*IF(ROUND(('Расчет 3Р'!$C$5/$D10),0)=0,1,CEILING(('Расчет 3Р'!$C$5/$D10),1))</f>
        <v>80</v>
      </c>
      <c r="AH10" s="46">
        <f>IF(ROUND(('Расчет 3Р'!$D$5/AT10),0)=0,1,CEILING(('Расчет 3Р'!$D$5),1))*IF(ROUND(('Расчет 3Р'!$E$5/BF10),0)=0,1,CEILING(('Расчет 3Р'!$E$5/BF10),1))*IF(ROUND(('Расчет 3Р'!$C$5/$D10),0)=0,1,CEILING(('Расчет 3Р'!$C$5/$D10),1))</f>
        <v>40</v>
      </c>
      <c r="AI10" s="130">
        <f t="shared" si="1"/>
        <v>2.4</v>
      </c>
      <c r="AJ10" s="130">
        <f t="shared" si="1"/>
        <v>2.5</v>
      </c>
      <c r="AK10" s="130">
        <f t="shared" si="1"/>
        <v>2.7</v>
      </c>
      <c r="AL10" s="130">
        <f t="shared" si="1"/>
        <v>2.9</v>
      </c>
      <c r="AM10" s="130">
        <f t="shared" si="1"/>
        <v>3</v>
      </c>
      <c r="AN10" s="130">
        <f t="shared" si="1"/>
        <v>3.2</v>
      </c>
      <c r="AO10" s="130">
        <f t="shared" si="1"/>
        <v>3.4</v>
      </c>
      <c r="AP10" s="130">
        <f t="shared" si="1"/>
        <v>3.5</v>
      </c>
      <c r="AQ10" s="130">
        <f t="shared" si="1"/>
        <v>4.4000000000000004</v>
      </c>
      <c r="AR10" s="130">
        <f t="shared" si="1"/>
        <v>5.2</v>
      </c>
      <c r="AS10" s="130">
        <f t="shared" si="1"/>
        <v>6</v>
      </c>
      <c r="AT10" s="130">
        <f t="shared" si="1"/>
        <v>6.9</v>
      </c>
      <c r="AU10" s="46">
        <f t="shared" si="2"/>
        <v>0.5</v>
      </c>
      <c r="AV10" s="46">
        <f t="shared" si="2"/>
        <v>0.7</v>
      </c>
      <c r="AW10" s="46">
        <f t="shared" si="2"/>
        <v>0.8</v>
      </c>
      <c r="AX10" s="46">
        <f t="shared" si="2"/>
        <v>1</v>
      </c>
      <c r="AY10" s="46">
        <f t="shared" si="2"/>
        <v>1.2</v>
      </c>
      <c r="AZ10" s="46">
        <f t="shared" si="2"/>
        <v>1.3</v>
      </c>
      <c r="BA10" s="46">
        <f t="shared" si="2"/>
        <v>1.5</v>
      </c>
      <c r="BB10" s="46">
        <f t="shared" si="2"/>
        <v>1.7</v>
      </c>
      <c r="BC10" s="46">
        <f t="shared" si="2"/>
        <v>2.5</v>
      </c>
      <c r="BD10" s="46">
        <f t="shared" si="2"/>
        <v>3.4</v>
      </c>
      <c r="BE10" s="46">
        <f t="shared" si="2"/>
        <v>4.2</v>
      </c>
      <c r="BF10" s="46">
        <f t="shared" si="2"/>
        <v>5</v>
      </c>
      <c r="BG10" s="46">
        <f t="shared" si="6"/>
        <v>257.83333333333331</v>
      </c>
      <c r="BH10" s="30">
        <f t="shared" si="6"/>
        <v>176.79999999999998</v>
      </c>
      <c r="BI10" s="30">
        <f t="shared" si="6"/>
        <v>143.24074074074073</v>
      </c>
      <c r="BJ10" s="30">
        <f t="shared" si="6"/>
        <v>106.68965517241379</v>
      </c>
      <c r="BK10" s="30">
        <f t="shared" si="6"/>
        <v>85.944444444444443</v>
      </c>
      <c r="BL10" s="30">
        <f t="shared" si="6"/>
        <v>74.374999999999986</v>
      </c>
      <c r="BM10" s="30">
        <f t="shared" si="6"/>
        <v>60.666666666666664</v>
      </c>
      <c r="BN10" s="30">
        <f t="shared" si="6"/>
        <v>51.999999999999993</v>
      </c>
      <c r="BO10" s="30">
        <f t="shared" si="6"/>
        <v>28.127272727272725</v>
      </c>
      <c r="BP10" s="30">
        <f t="shared" si="6"/>
        <v>17.5</v>
      </c>
      <c r="BQ10" s="30">
        <f t="shared" si="6"/>
        <v>12.277777777777775</v>
      </c>
      <c r="BR10" s="47">
        <f t="shared" si="6"/>
        <v>8.9681159420289855</v>
      </c>
      <c r="BS10" s="54" t="s">
        <v>36</v>
      </c>
      <c r="BT10" s="34">
        <v>5490</v>
      </c>
    </row>
    <row r="11" spans="1:72" ht="21" hidden="1" customHeight="1" x14ac:dyDescent="0.25">
      <c r="A11" s="246"/>
      <c r="B11" s="29" t="s">
        <v>125</v>
      </c>
      <c r="C11" s="30">
        <v>128</v>
      </c>
      <c r="D11" s="30">
        <f t="shared" ref="D11:D12" si="7">D8*2</f>
        <v>301.89999999999998</v>
      </c>
      <c r="E11" s="30"/>
      <c r="F11" s="41"/>
      <c r="G11" s="48">
        <v>1.85</v>
      </c>
      <c r="H11" s="30">
        <v>7.6999999999999999E-2</v>
      </c>
      <c r="I11" s="47">
        <v>9.1999999999999998E-2</v>
      </c>
      <c r="J11" s="46">
        <f t="shared" si="4"/>
        <v>1476000</v>
      </c>
      <c r="K11" s="130">
        <f t="shared" si="0"/>
        <v>1180800</v>
      </c>
      <c r="L11" s="130">
        <f t="shared" si="0"/>
        <v>1033200</v>
      </c>
      <c r="M11" s="130">
        <f t="shared" si="0"/>
        <v>738000</v>
      </c>
      <c r="N11" s="130">
        <f t="shared" si="0"/>
        <v>738000</v>
      </c>
      <c r="O11" s="130">
        <f t="shared" si="0"/>
        <v>590400</v>
      </c>
      <c r="P11" s="130">
        <f t="shared" si="0"/>
        <v>590400</v>
      </c>
      <c r="Q11" s="130">
        <f t="shared" si="0"/>
        <v>442800</v>
      </c>
      <c r="R11" s="130">
        <f t="shared" si="0"/>
        <v>295200</v>
      </c>
      <c r="S11" s="130">
        <f t="shared" si="0"/>
        <v>295200</v>
      </c>
      <c r="T11" s="130">
        <f t="shared" si="0"/>
        <v>295200</v>
      </c>
      <c r="U11" s="71">
        <f t="shared" si="0"/>
        <v>147600</v>
      </c>
      <c r="V11" s="82">
        <f t="shared" si="5"/>
        <v>147600</v>
      </c>
      <c r="W11" s="46">
        <f>IF(ROUND(('Расчет 3Р'!$D$5/AI11),0)=0,1,CEILING(('Расчет 3Р'!$D$5),1))*IF(ROUND(('Расчет 3Р'!$E$5/AU11),0)=0,1,CEILING(('Расчет 3Р'!$E$5/AU11),1))*IF(ROUND(('Расчет 3Р'!$C$5/$D11),0)=0,1,CEILING(('Расчет 3Р'!$C$5/$D11),1))</f>
        <v>400</v>
      </c>
      <c r="X11" s="46">
        <f>IF(ROUND(('Расчет 3Р'!$D$5/AJ11),0)=0,1,CEILING(('Расчет 3Р'!$D$5),1))*IF(ROUND(('Расчет 3Р'!$E$5/AV11),0)=0,1,CEILING(('Расчет 3Р'!$E$5/AV11),1))*IF(ROUND(('Расчет 3Р'!$C$5/$D11),0)=0,1,CEILING(('Расчет 3Р'!$C$5/$D11),1))</f>
        <v>320</v>
      </c>
      <c r="Y11" s="46">
        <f>IF(ROUND(('Расчет 3Р'!$D$5/AK11),0)=0,1,CEILING(('Расчет 3Р'!$D$5),1))*IF(ROUND(('Расчет 3Р'!$E$5/AW11),0)=0,1,CEILING(('Расчет 3Р'!$E$5/AW11),1))*IF(ROUND(('Расчет 3Р'!$C$5/$D11),0)=0,1,CEILING(('Расчет 3Р'!$C$5/$D11),1))</f>
        <v>280</v>
      </c>
      <c r="Z11" s="46">
        <f>IF(ROUND(('Расчет 3Р'!$D$5/AL11),0)=0,1,CEILING(('Расчет 3Р'!$D$5),1))*IF(ROUND(('Расчет 3Р'!$E$5/AX11),0)=0,1,CEILING(('Расчет 3Р'!$E$5/AX11),1))*IF(ROUND(('Расчет 3Р'!$C$5/$D11),0)=0,1,CEILING(('Расчет 3Р'!$C$5/$D11),1))</f>
        <v>200</v>
      </c>
      <c r="AA11" s="46">
        <f>IF(ROUND(('Расчет 3Р'!$D$5/AM11),0)=0,1,CEILING(('Расчет 3Р'!$D$5),1))*IF(ROUND(('Расчет 3Р'!$E$5/AY11),0)=0,1,CEILING(('Расчет 3Р'!$E$5/AY11),1))*IF(ROUND(('Расчет 3Р'!$C$5/$D11),0)=0,1,CEILING(('Расчет 3Р'!$C$5/$D11),1))</f>
        <v>200</v>
      </c>
      <c r="AB11" s="46">
        <f>IF(ROUND(('Расчет 3Р'!$D$5/AN11),0)=0,1,CEILING(('Расчет 3Р'!$D$5),1))*IF(ROUND(('Расчет 3Р'!$E$5/AZ11),0)=0,1,CEILING(('Расчет 3Р'!$E$5/AZ11),1))*IF(ROUND(('Расчет 3Р'!$C$5/$D11),0)=0,1,CEILING(('Расчет 3Р'!$C$5/$D11),1))</f>
        <v>160</v>
      </c>
      <c r="AC11" s="46">
        <f>IF(ROUND(('Расчет 3Р'!$D$5/AO11),0)=0,1,CEILING(('Расчет 3Р'!$D$5),1))*IF(ROUND(('Расчет 3Р'!$E$5/BA11),0)=0,1,CEILING(('Расчет 3Р'!$E$5/BA11),1))*IF(ROUND(('Расчет 3Р'!$C$5/$D11),0)=0,1,CEILING(('Расчет 3Р'!$C$5/$D11),1))</f>
        <v>160</v>
      </c>
      <c r="AD11" s="46">
        <f>IF(ROUND(('Расчет 3Р'!$D$5/AP11),0)=0,1,CEILING(('Расчет 3Р'!$D$5),1))*IF(ROUND(('Расчет 3Р'!$E$5/BB11),0)=0,1,CEILING(('Расчет 3Р'!$E$5/BB11),1))*IF(ROUND(('Расчет 3Р'!$C$5/$D11),0)=0,1,CEILING(('Расчет 3Р'!$C$5/$D11),1))</f>
        <v>120</v>
      </c>
      <c r="AE11" s="46">
        <f>IF(ROUND(('Расчет 3Р'!$D$5/AQ11),0)=0,1,CEILING(('Расчет 3Р'!$D$5),1))*IF(ROUND(('Расчет 3Р'!$E$5/BC11),0)=0,1,CEILING(('Расчет 3Р'!$E$5/BC11),1))*IF(ROUND(('Расчет 3Р'!$C$5/$D11),0)=0,1,CEILING(('Расчет 3Р'!$C$5/$D11),1))</f>
        <v>80</v>
      </c>
      <c r="AF11" s="46">
        <f>IF(ROUND(('Расчет 3Р'!$D$5/AR11),0)=0,1,CEILING(('Расчет 3Р'!$D$5),1))*IF(ROUND(('Расчет 3Р'!$E$5/BD11),0)=0,1,CEILING(('Расчет 3Р'!$E$5/BD11),1))*IF(ROUND(('Расчет 3Р'!$C$5/$D11),0)=0,1,CEILING(('Расчет 3Р'!$C$5/$D11),1))</f>
        <v>80</v>
      </c>
      <c r="AG11" s="46">
        <f>IF(ROUND(('Расчет 3Р'!$D$5/AS11),0)=0,1,CEILING(('Расчет 3Р'!$D$5),1))*IF(ROUND(('Расчет 3Р'!$E$5/BE11),0)=0,1,CEILING(('Расчет 3Р'!$E$5/BE11),1))*IF(ROUND(('Расчет 3Р'!$C$5/$D11),0)=0,1,CEILING(('Расчет 3Р'!$C$5/$D11),1))</f>
        <v>80</v>
      </c>
      <c r="AH11" s="46">
        <f>IF(ROUND(('Расчет 3Р'!$D$5/AT11),0)=0,1,CEILING(('Расчет 3Р'!$D$5),1))*IF(ROUND(('Расчет 3Р'!$E$5/BF11),0)=0,1,CEILING(('Расчет 3Р'!$E$5/BF11),1))*IF(ROUND(('Расчет 3Р'!$C$5/$D11),0)=0,1,CEILING(('Расчет 3Р'!$C$5/$D11),1))</f>
        <v>40</v>
      </c>
      <c r="AI11" s="130">
        <f t="shared" si="1"/>
        <v>2.4</v>
      </c>
      <c r="AJ11" s="130">
        <f t="shared" si="1"/>
        <v>2.5</v>
      </c>
      <c r="AK11" s="130">
        <f t="shared" si="1"/>
        <v>2.7</v>
      </c>
      <c r="AL11" s="130">
        <f t="shared" si="1"/>
        <v>2.9</v>
      </c>
      <c r="AM11" s="130">
        <f t="shared" si="1"/>
        <v>3</v>
      </c>
      <c r="AN11" s="130">
        <f t="shared" si="1"/>
        <v>3.2</v>
      </c>
      <c r="AO11" s="130">
        <f t="shared" si="1"/>
        <v>3.4</v>
      </c>
      <c r="AP11" s="130">
        <f t="shared" si="1"/>
        <v>3.5</v>
      </c>
      <c r="AQ11" s="130">
        <f t="shared" si="1"/>
        <v>4.4000000000000004</v>
      </c>
      <c r="AR11" s="130">
        <f t="shared" si="1"/>
        <v>5.2</v>
      </c>
      <c r="AS11" s="130">
        <f t="shared" si="1"/>
        <v>6</v>
      </c>
      <c r="AT11" s="130">
        <f t="shared" si="1"/>
        <v>6.9</v>
      </c>
      <c r="AU11" s="46">
        <f t="shared" si="2"/>
        <v>0.5</v>
      </c>
      <c r="AV11" s="46">
        <f t="shared" si="2"/>
        <v>0.7</v>
      </c>
      <c r="AW11" s="46">
        <f t="shared" si="2"/>
        <v>0.8</v>
      </c>
      <c r="AX11" s="46">
        <f t="shared" si="2"/>
        <v>1</v>
      </c>
      <c r="AY11" s="46">
        <f t="shared" si="2"/>
        <v>1.2</v>
      </c>
      <c r="AZ11" s="46">
        <f t="shared" si="2"/>
        <v>1.3</v>
      </c>
      <c r="BA11" s="46">
        <f t="shared" si="2"/>
        <v>1.5</v>
      </c>
      <c r="BB11" s="46">
        <f t="shared" si="2"/>
        <v>1.7</v>
      </c>
      <c r="BC11" s="46">
        <f t="shared" si="2"/>
        <v>2.5</v>
      </c>
      <c r="BD11" s="46">
        <f t="shared" si="2"/>
        <v>3.4</v>
      </c>
      <c r="BE11" s="46">
        <f t="shared" si="2"/>
        <v>4.2</v>
      </c>
      <c r="BF11" s="46">
        <f t="shared" si="2"/>
        <v>5</v>
      </c>
      <c r="BG11" s="46">
        <f t="shared" si="6"/>
        <v>251.58333333333331</v>
      </c>
      <c r="BH11" s="30">
        <f t="shared" si="6"/>
        <v>172.51428571428571</v>
      </c>
      <c r="BI11" s="30">
        <f t="shared" si="6"/>
        <v>139.7685185185185</v>
      </c>
      <c r="BJ11" s="30">
        <f t="shared" si="6"/>
        <v>104.10344827586206</v>
      </c>
      <c r="BK11" s="30">
        <f t="shared" si="6"/>
        <v>83.861111111111114</v>
      </c>
      <c r="BL11" s="30">
        <f t="shared" si="6"/>
        <v>72.572115384615373</v>
      </c>
      <c r="BM11" s="30">
        <f t="shared" si="6"/>
        <v>59.196078431372548</v>
      </c>
      <c r="BN11" s="30">
        <f t="shared" si="6"/>
        <v>50.739495798319325</v>
      </c>
      <c r="BO11" s="30">
        <f t="shared" si="6"/>
        <v>27.445454545454542</v>
      </c>
      <c r="BP11" s="30">
        <f t="shared" si="6"/>
        <v>17.075791855203619</v>
      </c>
      <c r="BQ11" s="30">
        <f t="shared" si="6"/>
        <v>11.980158730158728</v>
      </c>
      <c r="BR11" s="47">
        <f t="shared" si="6"/>
        <v>8.7507246376811594</v>
      </c>
      <c r="BS11" s="130" t="s">
        <v>33</v>
      </c>
      <c r="BT11" s="31">
        <v>3690</v>
      </c>
    </row>
    <row r="12" spans="1:72" ht="21" hidden="1" customHeight="1" thickBot="1" x14ac:dyDescent="0.3">
      <c r="A12" s="246"/>
      <c r="B12" s="29" t="s">
        <v>54</v>
      </c>
      <c r="C12" s="33">
        <v>128</v>
      </c>
      <c r="D12" s="30">
        <f t="shared" si="7"/>
        <v>300.89999999999998</v>
      </c>
      <c r="E12" s="33"/>
      <c r="F12" s="41"/>
      <c r="G12" s="48">
        <v>1.85</v>
      </c>
      <c r="H12" s="30">
        <v>7.6999999999999999E-2</v>
      </c>
      <c r="I12" s="47">
        <v>9.1999999999999998E-2</v>
      </c>
      <c r="J12" s="46">
        <f t="shared" si="4"/>
        <v>2196000</v>
      </c>
      <c r="K12" s="130">
        <f t="shared" si="0"/>
        <v>1756800</v>
      </c>
      <c r="L12" s="130">
        <f t="shared" si="0"/>
        <v>1537200</v>
      </c>
      <c r="M12" s="130">
        <f t="shared" si="0"/>
        <v>1098000</v>
      </c>
      <c r="N12" s="130">
        <f t="shared" si="0"/>
        <v>1098000</v>
      </c>
      <c r="O12" s="130">
        <f t="shared" si="0"/>
        <v>878400</v>
      </c>
      <c r="P12" s="130">
        <f t="shared" si="0"/>
        <v>878400</v>
      </c>
      <c r="Q12" s="130">
        <f t="shared" si="0"/>
        <v>658800</v>
      </c>
      <c r="R12" s="130">
        <f t="shared" si="0"/>
        <v>439200</v>
      </c>
      <c r="S12" s="130">
        <f t="shared" si="0"/>
        <v>439200</v>
      </c>
      <c r="T12" s="130">
        <f t="shared" si="0"/>
        <v>439200</v>
      </c>
      <c r="U12" s="71">
        <f t="shared" si="0"/>
        <v>219600</v>
      </c>
      <c r="V12" s="68">
        <f t="shared" si="5"/>
        <v>219600</v>
      </c>
      <c r="W12" s="46">
        <f>IF(ROUND(('Расчет 3Р'!$D$5/AI12),0)=0,1,CEILING(('Расчет 3Р'!$D$5),1))*IF(ROUND(('Расчет 3Р'!$E$5/AU12),0)=0,1,CEILING(('Расчет 3Р'!$E$5/AU12),1))*IF(ROUND(('Расчет 3Р'!$C$5/$D12),0)=0,1,CEILING(('Расчет 3Р'!$C$5/$D12),1))</f>
        <v>400</v>
      </c>
      <c r="X12" s="46">
        <f>IF(ROUND(('Расчет 3Р'!$D$5/AJ12),0)=0,1,CEILING(('Расчет 3Р'!$D$5),1))*IF(ROUND(('Расчет 3Р'!$E$5/AV12),0)=0,1,CEILING(('Расчет 3Р'!$E$5/AV12),1))*IF(ROUND(('Расчет 3Р'!$C$5/$D12),0)=0,1,CEILING(('Расчет 3Р'!$C$5/$D12),1))</f>
        <v>320</v>
      </c>
      <c r="Y12" s="46">
        <f>IF(ROUND(('Расчет 3Р'!$D$5/AK12),0)=0,1,CEILING(('Расчет 3Р'!$D$5),1))*IF(ROUND(('Расчет 3Р'!$E$5/AW12),0)=0,1,CEILING(('Расчет 3Р'!$E$5/AW12),1))*IF(ROUND(('Расчет 3Р'!$C$5/$D12),0)=0,1,CEILING(('Расчет 3Р'!$C$5/$D12),1))</f>
        <v>280</v>
      </c>
      <c r="Z12" s="46">
        <f>IF(ROUND(('Расчет 3Р'!$D$5/AL12),0)=0,1,CEILING(('Расчет 3Р'!$D$5),1))*IF(ROUND(('Расчет 3Р'!$E$5/AX12),0)=0,1,CEILING(('Расчет 3Р'!$E$5/AX12),1))*IF(ROUND(('Расчет 3Р'!$C$5/$D12),0)=0,1,CEILING(('Расчет 3Р'!$C$5/$D12),1))</f>
        <v>200</v>
      </c>
      <c r="AA12" s="46">
        <f>IF(ROUND(('Расчет 3Р'!$D$5/AM12),0)=0,1,CEILING(('Расчет 3Р'!$D$5),1))*IF(ROUND(('Расчет 3Р'!$E$5/AY12),0)=0,1,CEILING(('Расчет 3Р'!$E$5/AY12),1))*IF(ROUND(('Расчет 3Р'!$C$5/$D12),0)=0,1,CEILING(('Расчет 3Р'!$C$5/$D12),1))</f>
        <v>200</v>
      </c>
      <c r="AB12" s="46">
        <f>IF(ROUND(('Расчет 3Р'!$D$5/AN12),0)=0,1,CEILING(('Расчет 3Р'!$D$5),1))*IF(ROUND(('Расчет 3Р'!$E$5/AZ12),0)=0,1,CEILING(('Расчет 3Р'!$E$5/AZ12),1))*IF(ROUND(('Расчет 3Р'!$C$5/$D12),0)=0,1,CEILING(('Расчет 3Р'!$C$5/$D12),1))</f>
        <v>160</v>
      </c>
      <c r="AC12" s="46">
        <f>IF(ROUND(('Расчет 3Р'!$D$5/AO12),0)=0,1,CEILING(('Расчет 3Р'!$D$5),1))*IF(ROUND(('Расчет 3Р'!$E$5/BA12),0)=0,1,CEILING(('Расчет 3Р'!$E$5/BA12),1))*IF(ROUND(('Расчет 3Р'!$C$5/$D12),0)=0,1,CEILING(('Расчет 3Р'!$C$5/$D12),1))</f>
        <v>160</v>
      </c>
      <c r="AD12" s="46">
        <f>IF(ROUND(('Расчет 3Р'!$D$5/AP12),0)=0,1,CEILING(('Расчет 3Р'!$D$5),1))*IF(ROUND(('Расчет 3Р'!$E$5/BB12),0)=0,1,CEILING(('Расчет 3Р'!$E$5/BB12),1))*IF(ROUND(('Расчет 3Р'!$C$5/$D12),0)=0,1,CEILING(('Расчет 3Р'!$C$5/$D12),1))</f>
        <v>120</v>
      </c>
      <c r="AE12" s="46">
        <f>IF(ROUND(('Расчет 3Р'!$D$5/AQ12),0)=0,1,CEILING(('Расчет 3Р'!$D$5),1))*IF(ROUND(('Расчет 3Р'!$E$5/BC12),0)=0,1,CEILING(('Расчет 3Р'!$E$5/BC12),1))*IF(ROUND(('Расчет 3Р'!$C$5/$D12),0)=0,1,CEILING(('Расчет 3Р'!$C$5/$D12),1))</f>
        <v>80</v>
      </c>
      <c r="AF12" s="46">
        <f>IF(ROUND(('Расчет 3Р'!$D$5/AR12),0)=0,1,CEILING(('Расчет 3Р'!$D$5),1))*IF(ROUND(('Расчет 3Р'!$E$5/BD12),0)=0,1,CEILING(('Расчет 3Р'!$E$5/BD12),1))*IF(ROUND(('Расчет 3Р'!$C$5/$D12),0)=0,1,CEILING(('Расчет 3Р'!$C$5/$D12),1))</f>
        <v>80</v>
      </c>
      <c r="AG12" s="46">
        <f>IF(ROUND(('Расчет 3Р'!$D$5/AS12),0)=0,1,CEILING(('Расчет 3Р'!$D$5),1))*IF(ROUND(('Расчет 3Р'!$E$5/BE12),0)=0,1,CEILING(('Расчет 3Р'!$E$5/BE12),1))*IF(ROUND(('Расчет 3Р'!$C$5/$D12),0)=0,1,CEILING(('Расчет 3Р'!$C$5/$D12),1))</f>
        <v>80</v>
      </c>
      <c r="AH12" s="46">
        <f>IF(ROUND(('Расчет 3Р'!$D$5/AT12),0)=0,1,CEILING(('Расчет 3Р'!$D$5),1))*IF(ROUND(('Расчет 3Р'!$E$5/BF12),0)=0,1,CEILING(('Расчет 3Р'!$E$5/BF12),1))*IF(ROUND(('Расчет 3Р'!$C$5/$D12),0)=0,1,CEILING(('Расчет 3Р'!$C$5/$D12),1))</f>
        <v>40</v>
      </c>
      <c r="AI12" s="130">
        <f t="shared" si="1"/>
        <v>2.4</v>
      </c>
      <c r="AJ12" s="130">
        <f t="shared" si="1"/>
        <v>2.5</v>
      </c>
      <c r="AK12" s="130">
        <f t="shared" si="1"/>
        <v>2.7</v>
      </c>
      <c r="AL12" s="130">
        <f t="shared" si="1"/>
        <v>2.9</v>
      </c>
      <c r="AM12" s="130">
        <f t="shared" si="1"/>
        <v>3</v>
      </c>
      <c r="AN12" s="130">
        <f t="shared" si="1"/>
        <v>3.2</v>
      </c>
      <c r="AO12" s="130">
        <f t="shared" si="1"/>
        <v>3.4</v>
      </c>
      <c r="AP12" s="130">
        <f t="shared" si="1"/>
        <v>3.5</v>
      </c>
      <c r="AQ12" s="130">
        <f t="shared" si="1"/>
        <v>4.4000000000000004</v>
      </c>
      <c r="AR12" s="130">
        <f t="shared" si="1"/>
        <v>5.2</v>
      </c>
      <c r="AS12" s="130">
        <f t="shared" si="1"/>
        <v>6</v>
      </c>
      <c r="AT12" s="130">
        <f t="shared" si="1"/>
        <v>6.9</v>
      </c>
      <c r="AU12" s="46">
        <f t="shared" si="2"/>
        <v>0.5</v>
      </c>
      <c r="AV12" s="46">
        <f t="shared" si="2"/>
        <v>0.7</v>
      </c>
      <c r="AW12" s="46">
        <f t="shared" si="2"/>
        <v>0.8</v>
      </c>
      <c r="AX12" s="46">
        <f t="shared" si="2"/>
        <v>1</v>
      </c>
      <c r="AY12" s="46">
        <f t="shared" si="2"/>
        <v>1.2</v>
      </c>
      <c r="AZ12" s="46">
        <f t="shared" si="2"/>
        <v>1.3</v>
      </c>
      <c r="BA12" s="46">
        <f t="shared" si="2"/>
        <v>1.5</v>
      </c>
      <c r="BB12" s="46">
        <f t="shared" si="2"/>
        <v>1.7</v>
      </c>
      <c r="BC12" s="46">
        <f t="shared" si="2"/>
        <v>2.5</v>
      </c>
      <c r="BD12" s="46">
        <f t="shared" si="2"/>
        <v>3.4</v>
      </c>
      <c r="BE12" s="46">
        <f t="shared" si="2"/>
        <v>4.2</v>
      </c>
      <c r="BF12" s="46">
        <f t="shared" si="2"/>
        <v>5</v>
      </c>
      <c r="BG12" s="46">
        <f t="shared" si="6"/>
        <v>250.75</v>
      </c>
      <c r="BH12" s="30">
        <f t="shared" si="6"/>
        <v>171.94285714285712</v>
      </c>
      <c r="BI12" s="30">
        <f t="shared" si="6"/>
        <v>139.30555555555554</v>
      </c>
      <c r="BJ12" s="30">
        <f t="shared" si="6"/>
        <v>103.75862068965517</v>
      </c>
      <c r="BK12" s="30">
        <f t="shared" si="6"/>
        <v>83.583333333333329</v>
      </c>
      <c r="BL12" s="30">
        <f t="shared" si="6"/>
        <v>72.331730769230759</v>
      </c>
      <c r="BM12" s="30">
        <f t="shared" si="6"/>
        <v>59</v>
      </c>
      <c r="BN12" s="30">
        <f t="shared" si="6"/>
        <v>50.571428571428569</v>
      </c>
      <c r="BO12" s="30">
        <f t="shared" si="6"/>
        <v>27.354545454545452</v>
      </c>
      <c r="BP12" s="30">
        <f t="shared" si="6"/>
        <v>17.019230769230766</v>
      </c>
      <c r="BQ12" s="30">
        <f t="shared" si="6"/>
        <v>11.940476190476188</v>
      </c>
      <c r="BR12" s="47">
        <f t="shared" si="6"/>
        <v>8.7217391304347824</v>
      </c>
      <c r="BS12" s="54" t="s">
        <v>36</v>
      </c>
      <c r="BT12" s="34">
        <v>5490</v>
      </c>
    </row>
    <row r="13" spans="1:72" ht="15.75" hidden="1" thickBot="1" x14ac:dyDescent="0.3">
      <c r="J13" s="79">
        <f t="shared" ref="J13:U13" si="8">MIN(J11:J12)</f>
        <v>1476000</v>
      </c>
      <c r="K13" s="79">
        <f t="shared" si="8"/>
        <v>1180800</v>
      </c>
      <c r="L13" s="79">
        <f t="shared" si="8"/>
        <v>1033200</v>
      </c>
      <c r="M13" s="80">
        <f t="shared" si="8"/>
        <v>738000</v>
      </c>
      <c r="N13" s="79">
        <f t="shared" si="8"/>
        <v>738000</v>
      </c>
      <c r="O13" s="79">
        <f t="shared" si="8"/>
        <v>590400</v>
      </c>
      <c r="P13" s="79">
        <f t="shared" si="8"/>
        <v>590400</v>
      </c>
      <c r="Q13" s="79">
        <f t="shared" si="8"/>
        <v>442800</v>
      </c>
      <c r="R13" s="79">
        <f t="shared" si="8"/>
        <v>295200</v>
      </c>
      <c r="S13" s="79">
        <f t="shared" si="8"/>
        <v>295200</v>
      </c>
      <c r="T13" s="79">
        <f t="shared" si="8"/>
        <v>295200</v>
      </c>
      <c r="U13" s="80">
        <f t="shared" si="8"/>
        <v>147600</v>
      </c>
      <c r="V13" s="70"/>
    </row>
    <row r="14" spans="1:72" ht="28.5" hidden="1" x14ac:dyDescent="0.25">
      <c r="M14" s="82" t="e">
        <f>MATCH(N14,#REF!,0)+9</f>
        <v>#REF!</v>
      </c>
      <c r="N14" s="247">
        <f>MIN(J7:U8)</f>
        <v>258300</v>
      </c>
      <c r="O14" s="245"/>
      <c r="P14" s="81">
        <f>M15</f>
        <v>7</v>
      </c>
      <c r="Q14" t="s">
        <v>105</v>
      </c>
      <c r="R14" s="81">
        <f ca="1">INDIRECT(ADDRESS(P14,3))</f>
        <v>64</v>
      </c>
      <c r="S14" s="81" t="e">
        <f ca="1">IF(N$23=A$8,R14,0)+IF(N$23=#REF!,R16,0)+IF(N$23=A$12,R18,0)</f>
        <v>#REF!</v>
      </c>
      <c r="T14" s="70" t="e">
        <f ca="1">(CONCATENATE("SSO-220/",TEXT(S14,0),"-05.2",Расчет!#REF!))</f>
        <v>#REF!</v>
      </c>
      <c r="U14" s="81" t="e">
        <f>IF(N$23=A$8,N14,0)+IF(N$23=#REF!,N16,0)+IF(N$23=A$12,N18,0)</f>
        <v>#REF!</v>
      </c>
      <c r="V14" s="30" t="s">
        <v>107</v>
      </c>
    </row>
    <row r="15" spans="1:72" ht="43.5" hidden="1" thickBot="1" x14ac:dyDescent="0.3">
      <c r="M15" s="69">
        <f>MATCH(N14,V7:V8,0)+6</f>
        <v>7</v>
      </c>
      <c r="N15" s="241"/>
      <c r="O15" s="244"/>
      <c r="P15" s="30" t="e">
        <f>M14</f>
        <v>#REF!</v>
      </c>
      <c r="Q15" t="s">
        <v>106</v>
      </c>
      <c r="R15" s="30" t="e">
        <f ca="1">INDIRECT(ADDRESS(5,P15))</f>
        <v>#REF!</v>
      </c>
      <c r="S15" s="30" t="e">
        <f ca="1">IF(N$23=A$8,R15,0)+IF(N$23=#REF!,R17,0)+IF(N$23=A$12,R19,0)</f>
        <v>#REF!</v>
      </c>
      <c r="T15" s="30" t="s">
        <v>109</v>
      </c>
      <c r="U15" s="81" t="e">
        <f>IF(T$15=B7,BT7,0)+IF(T$15=B8,BT8,0)+IF(T$15=#REF!,#REF!,0)+IF(T$15=#REF!,#REF!,0)+IF(T$15=#REF!,#REF!,0)+IF(T$15=B9,BT9,0)+IF(T$15=B10,BT10,0)+IF(T$15=#REF!,#REF!,0)+IF(T$15=#REF!,#REF!,0)+IF(T$15=#REF!,#REF!,0)+IF(T$15=B11,BT11,0)+IF(T$15=B12,BT12,0)+IF(T$15=#REF!,#REF!,0)+IF(T$15=#REF!,#REF!,0)+IF(T$15=#REF!,#REF!,0)</f>
        <v>#REF!</v>
      </c>
      <c r="V15" s="30" t="s">
        <v>114</v>
      </c>
    </row>
    <row r="16" spans="1:72" ht="57" hidden="1" x14ac:dyDescent="0.25">
      <c r="M16" s="82" t="e">
        <f>MATCH(N16,#REF!,0)+9</f>
        <v>#REF!</v>
      </c>
      <c r="N16" s="241">
        <f>MIN(J9:U10)</f>
        <v>219600</v>
      </c>
      <c r="O16" s="243"/>
      <c r="P16" s="30">
        <f>M17</f>
        <v>14</v>
      </c>
      <c r="Q16" t="s">
        <v>105</v>
      </c>
      <c r="R16" s="30">
        <f ca="1">INDIRECT(ADDRESS(P16,3))</f>
        <v>0</v>
      </c>
      <c r="U16" s="81" t="e">
        <f>U14/U15</f>
        <v>#REF!</v>
      </c>
      <c r="V16" s="30" t="s">
        <v>103</v>
      </c>
    </row>
    <row r="17" spans="1:21" ht="15.75" hidden="1" thickBot="1" x14ac:dyDescent="0.3">
      <c r="M17" s="69">
        <f>MATCH(N16,V9:V10,0)+12</f>
        <v>14</v>
      </c>
      <c r="N17" s="241"/>
      <c r="O17" s="244"/>
      <c r="P17" s="30" t="e">
        <f>M16</f>
        <v>#REF!</v>
      </c>
      <c r="Q17" t="s">
        <v>106</v>
      </c>
      <c r="R17" s="30" t="e">
        <f ca="1">INDIRECT(ADDRESS(5,P17))</f>
        <v>#REF!</v>
      </c>
      <c r="U17" s="92"/>
    </row>
    <row r="18" spans="1:21" hidden="1" x14ac:dyDescent="0.25">
      <c r="M18" s="82">
        <f>MATCH(N18,J13:U13,0)+9</f>
        <v>21</v>
      </c>
      <c r="N18" s="241">
        <f>MIN(J11:U12)</f>
        <v>147600</v>
      </c>
      <c r="O18" s="242"/>
      <c r="P18" s="30">
        <f>M19</f>
        <v>19</v>
      </c>
      <c r="Q18" t="s">
        <v>105</v>
      </c>
      <c r="R18" s="30">
        <f ca="1">INDIRECT(ADDRESS(P18,3))</f>
        <v>0</v>
      </c>
      <c r="U18" s="92"/>
    </row>
    <row r="19" spans="1:21" ht="15.75" hidden="1" thickBot="1" x14ac:dyDescent="0.3">
      <c r="M19" s="69">
        <f>MATCH(N18,V11:V12,0)+18</f>
        <v>19</v>
      </c>
      <c r="N19" s="241"/>
      <c r="O19" s="242"/>
      <c r="P19" s="30">
        <f>M18</f>
        <v>21</v>
      </c>
      <c r="Q19" t="s">
        <v>106</v>
      </c>
      <c r="R19" s="30">
        <f ca="1">INDIRECT(ADDRESS(5,P19))</f>
        <v>3</v>
      </c>
      <c r="U19" s="92"/>
    </row>
    <row r="20" spans="1:21" hidden="1" x14ac:dyDescent="0.25">
      <c r="C20" s="229" t="s">
        <v>56</v>
      </c>
      <c r="D20" s="229"/>
      <c r="E20" s="229"/>
      <c r="F20" s="229"/>
      <c r="G20" s="229"/>
      <c r="H20" s="229"/>
      <c r="I20" s="17"/>
      <c r="J20" s="17"/>
      <c r="K20" s="17"/>
      <c r="U20" s="92"/>
    </row>
    <row r="21" spans="1:21" hidden="1" x14ac:dyDescent="0.25">
      <c r="C21" s="229" t="s">
        <v>57</v>
      </c>
      <c r="D21" s="229"/>
      <c r="E21" s="229"/>
      <c r="F21" s="229"/>
      <c r="G21" s="229"/>
      <c r="H21" s="229"/>
      <c r="I21" s="17"/>
      <c r="J21" s="17"/>
      <c r="K21" s="17"/>
      <c r="R21" s="92"/>
      <c r="S21" s="92"/>
      <c r="U21" s="92"/>
    </row>
    <row r="22" spans="1:21" ht="45" hidden="1" x14ac:dyDescent="0.25">
      <c r="C22" s="18" t="s">
        <v>58</v>
      </c>
      <c r="D22" s="18" t="s">
        <v>59</v>
      </c>
      <c r="E22" s="37" t="s">
        <v>60</v>
      </c>
      <c r="F22" s="18" t="s">
        <v>61</v>
      </c>
      <c r="G22" s="18" t="s">
        <v>62</v>
      </c>
      <c r="H22" s="18" t="s">
        <v>63</v>
      </c>
      <c r="I22" s="18" t="s">
        <v>64</v>
      </c>
      <c r="J22" s="18" t="s">
        <v>65</v>
      </c>
      <c r="K22" s="38"/>
      <c r="N22" s="112" t="e">
        <f>Расчет!#REF!</f>
        <v>#REF!</v>
      </c>
      <c r="R22" s="92"/>
      <c r="S22" s="92"/>
      <c r="U22" s="92"/>
    </row>
    <row r="23" spans="1:21" hidden="1" x14ac:dyDescent="0.25">
      <c r="C23" s="18">
        <v>80</v>
      </c>
      <c r="D23" s="18">
        <v>0.6</v>
      </c>
      <c r="E23" s="37">
        <f>D23*TAN(3.14*2*C23/720)</f>
        <v>0.50309801650289465</v>
      </c>
      <c r="F23" s="18">
        <f>D23*TAN(3.14*2*C23/720)</f>
        <v>0.50309801650289465</v>
      </c>
      <c r="G23" s="18">
        <v>1.3</v>
      </c>
      <c r="H23" s="18">
        <f>F23*2</f>
        <v>1.0061960330057893</v>
      </c>
      <c r="I23" s="18">
        <f>F23*2+G23</f>
        <v>2.3061960330057891</v>
      </c>
      <c r="J23" s="18">
        <f>H23*I23</f>
        <v>2.3204852997441132</v>
      </c>
      <c r="K23" s="38"/>
      <c r="R23" s="92"/>
      <c r="S23" s="92"/>
      <c r="U23" s="92"/>
    </row>
    <row r="24" spans="1:21" hidden="1" x14ac:dyDescent="0.25">
      <c r="C24" s="17"/>
      <c r="D24" s="17"/>
      <c r="E24" s="17"/>
      <c r="F24" s="17"/>
      <c r="G24" s="17"/>
      <c r="H24" s="17"/>
      <c r="I24" s="17"/>
      <c r="J24" s="17"/>
      <c r="K24" s="17"/>
      <c r="U24" s="92"/>
    </row>
    <row r="25" spans="1:21" hidden="1" x14ac:dyDescent="0.25">
      <c r="C25" s="17"/>
      <c r="D25" s="17"/>
      <c r="E25" s="17"/>
      <c r="F25" s="17"/>
      <c r="G25" s="17"/>
      <c r="H25" s="17"/>
      <c r="I25" s="17"/>
      <c r="J25" s="17"/>
      <c r="K25" s="17"/>
      <c r="U25" s="92"/>
    </row>
    <row r="26" spans="1:21" hidden="1" x14ac:dyDescent="0.25">
      <c r="C26" s="230" t="s">
        <v>66</v>
      </c>
      <c r="D26" s="230"/>
      <c r="E26" s="230"/>
      <c r="F26" s="230"/>
      <c r="G26" s="230"/>
      <c r="H26" s="230"/>
      <c r="I26" s="17"/>
      <c r="J26" s="17"/>
      <c r="K26" s="17"/>
      <c r="U26" s="92"/>
    </row>
    <row r="27" spans="1:21" ht="75" hidden="1" x14ac:dyDescent="0.25">
      <c r="C27" s="19" t="s">
        <v>67</v>
      </c>
      <c r="D27" s="18" t="s">
        <v>68</v>
      </c>
      <c r="E27" s="17"/>
      <c r="F27" s="17"/>
      <c r="G27" s="17"/>
      <c r="H27" s="17"/>
      <c r="I27" s="17"/>
      <c r="J27" s="17"/>
      <c r="K27" s="17"/>
      <c r="U27" s="92"/>
    </row>
    <row r="28" spans="1:21" hidden="1" x14ac:dyDescent="0.25">
      <c r="C28" s="18">
        <v>318.2</v>
      </c>
      <c r="D28" s="18">
        <f>C28/J23</f>
        <v>137.12648816826757</v>
      </c>
      <c r="E28" s="17"/>
      <c r="F28" s="17"/>
      <c r="G28" s="17"/>
      <c r="H28" s="17"/>
      <c r="I28" s="17"/>
      <c r="J28" s="17"/>
      <c r="K28" s="17"/>
      <c r="U28" s="92"/>
    </row>
    <row r="29" spans="1:21" hidden="1" x14ac:dyDescent="0.25"/>
    <row r="30" spans="1:21" hidden="1" x14ac:dyDescent="0.25"/>
    <row r="31" spans="1:21" ht="45.75" hidden="1" thickBot="1" x14ac:dyDescent="0.3">
      <c r="A31" s="12"/>
      <c r="B31" s="12"/>
      <c r="C31" s="12"/>
      <c r="D31" s="12"/>
      <c r="E31" s="12"/>
      <c r="F31" s="12"/>
      <c r="G31" s="12"/>
      <c r="H31" s="12"/>
      <c r="I31" s="12"/>
      <c r="J31" s="88" t="s">
        <v>104</v>
      </c>
      <c r="K31" s="88" t="s">
        <v>103</v>
      </c>
      <c r="L31" s="249" t="s">
        <v>97</v>
      </c>
      <c r="M31" s="250"/>
      <c r="N31" s="131" t="s">
        <v>102</v>
      </c>
      <c r="O31" s="90"/>
      <c r="P31" s="86"/>
    </row>
    <row r="32" spans="1:21" ht="60" hidden="1" x14ac:dyDescent="0.25">
      <c r="B32" s="28" t="s">
        <v>25</v>
      </c>
      <c r="C32" s="28" t="s">
        <v>100</v>
      </c>
      <c r="D32" s="28" t="s">
        <v>26</v>
      </c>
      <c r="E32" s="28" t="s">
        <v>27</v>
      </c>
      <c r="F32" s="40" t="s">
        <v>28</v>
      </c>
      <c r="G32" s="231" t="s">
        <v>98</v>
      </c>
      <c r="H32" s="232"/>
      <c r="I32" s="233"/>
      <c r="J32" s="231">
        <f>'Расчет 3Р'!G5</f>
        <v>3</v>
      </c>
      <c r="K32" s="232"/>
      <c r="L32" s="232"/>
      <c r="M32" s="232"/>
      <c r="N32" s="251"/>
      <c r="O32" s="36" t="s">
        <v>29</v>
      </c>
      <c r="P32" s="28" t="s">
        <v>30</v>
      </c>
    </row>
    <row r="33" spans="1:16" ht="30" hidden="1" x14ac:dyDescent="0.25">
      <c r="B33" s="28"/>
      <c r="C33" s="28"/>
      <c r="D33" s="28"/>
      <c r="E33" s="28"/>
      <c r="F33" s="40"/>
      <c r="G33" s="44" t="s">
        <v>94</v>
      </c>
      <c r="H33" s="28" t="s">
        <v>95</v>
      </c>
      <c r="I33" s="45" t="s">
        <v>96</v>
      </c>
      <c r="J33" s="44"/>
      <c r="K33" s="44"/>
      <c r="L33" s="128" t="s">
        <v>99</v>
      </c>
      <c r="M33" s="127" t="s">
        <v>24</v>
      </c>
      <c r="N33" s="28"/>
      <c r="O33" s="36"/>
      <c r="P33" s="28"/>
    </row>
    <row r="34" spans="1:16" hidden="1" x14ac:dyDescent="0.25">
      <c r="A34" s="246" t="s">
        <v>121</v>
      </c>
      <c r="B34" s="29" t="s">
        <v>50</v>
      </c>
      <c r="C34" s="30">
        <v>64</v>
      </c>
      <c r="D34" s="30">
        <v>154.69999999999999</v>
      </c>
      <c r="E34" s="30"/>
      <c r="F34" s="41"/>
      <c r="G34" s="46">
        <v>0.95</v>
      </c>
      <c r="H34" s="30">
        <v>7.6999999999999999E-2</v>
      </c>
      <c r="I34" s="47">
        <v>9.1999999999999998E-2</v>
      </c>
      <c r="J34" s="46">
        <f>K34*$P34</f>
        <v>3666212</v>
      </c>
      <c r="K34" s="46">
        <f>IF(ROUND(('Расчет 3Р'!$D$5/L34),0)=0,1,CEILING(('Расчет 3Р'!$D$5/L34),1))*IF(ROUND(('Расчет 3Р'!$E$5/M34),0)=0,1,CEILING(('Расчет 3Р'!$E$5/M34),1))*IF(ROUND(('Расчет 3Р'!C$5/N34),0)=0,1,CEILING(('Расчет 3Р'!C$5/N34),1))</f>
        <v>388</v>
      </c>
      <c r="L34" s="130">
        <f>ROUND((($J$32*TAN(3.14*2*$C$23/720))*2+$G34),1)</f>
        <v>6</v>
      </c>
      <c r="M34" s="113">
        <f>ROUND((($J$32*TAN(3.14*2*$C$23/720))*2),1)</f>
        <v>5</v>
      </c>
      <c r="N34" s="46">
        <f t="shared" ref="N34:N39" si="9">$D34/(M34*L34)</f>
        <v>5.1566666666666663</v>
      </c>
      <c r="O34" s="130" t="s">
        <v>33</v>
      </c>
      <c r="P34" s="31">
        <v>9449</v>
      </c>
    </row>
    <row r="35" spans="1:16" hidden="1" x14ac:dyDescent="0.25">
      <c r="A35" s="246"/>
      <c r="B35" s="29" t="s">
        <v>125</v>
      </c>
      <c r="C35" s="33">
        <v>64</v>
      </c>
      <c r="D35" s="30">
        <v>150.94999999999999</v>
      </c>
      <c r="E35" s="33"/>
      <c r="F35" s="41"/>
      <c r="G35" s="46">
        <v>0.95</v>
      </c>
      <c r="H35" s="30">
        <v>7.6999999999999999E-2</v>
      </c>
      <c r="I35" s="47">
        <v>9.1999999999999998E-2</v>
      </c>
      <c r="J35" s="46">
        <f t="shared" ref="J35:J38" si="10">K35*$P35</f>
        <v>3760702</v>
      </c>
      <c r="K35" s="46">
        <f>IF(ROUND(('Расчет 3Р'!$D$5/L35),0)=0,1,CEILING(('Расчет 3Р'!$D$5/L35),1))*IF(ROUND(('Расчет 3Р'!$E$5/M35),0)=0,1,CEILING(('Расчет 3Р'!$E$5/M35),1))*IF(ROUND(('Расчет 3Р'!C$5/N35),0)=0,1,CEILING(('Расчет 3Р'!C$5/N35),1))</f>
        <v>398</v>
      </c>
      <c r="L35" s="130">
        <f t="shared" ref="L35:L39" si="11">ROUND((($J$32*TAN(3.14*2*$C$23/720))*2+$G35),1)</f>
        <v>6</v>
      </c>
      <c r="M35" s="113">
        <f t="shared" ref="M35:M39" si="12">ROUND((($J$32*TAN(3.14*2*$C$23/720))*2),1)</f>
        <v>5</v>
      </c>
      <c r="N35" s="46">
        <f t="shared" si="9"/>
        <v>5.0316666666666663</v>
      </c>
      <c r="O35" s="54" t="s">
        <v>75</v>
      </c>
      <c r="P35" s="31">
        <v>9449</v>
      </c>
    </row>
    <row r="36" spans="1:16" hidden="1" x14ac:dyDescent="0.25">
      <c r="A36" s="246"/>
      <c r="B36" s="29" t="s">
        <v>54</v>
      </c>
      <c r="C36" s="30">
        <v>64</v>
      </c>
      <c r="D36" s="30">
        <v>150.44999999999999</v>
      </c>
      <c r="E36" s="30"/>
      <c r="F36" s="41"/>
      <c r="G36" s="46">
        <v>0.95</v>
      </c>
      <c r="H36" s="30">
        <v>7.6999999999999999E-2</v>
      </c>
      <c r="I36" s="47">
        <v>9.1999999999999998E-2</v>
      </c>
      <c r="J36" s="46">
        <f t="shared" si="10"/>
        <v>3779600</v>
      </c>
      <c r="K36" s="46">
        <f>IF(ROUND(('Расчет 3Р'!$D$5/L36),0)=0,1,CEILING(('Расчет 3Р'!$D$5/L36),1))*IF(ROUND(('Расчет 3Р'!$E$5/M36),0)=0,1,CEILING(('Расчет 3Р'!$E$5/M36),1))*IF(ROUND(('Расчет 3Р'!C$5/N36),0)=0,1,CEILING(('Расчет 3Р'!C$5/N36),1))</f>
        <v>400</v>
      </c>
      <c r="L36" s="130">
        <f t="shared" si="11"/>
        <v>6</v>
      </c>
      <c r="M36" s="113">
        <f t="shared" si="12"/>
        <v>5</v>
      </c>
      <c r="N36" s="46">
        <f t="shared" si="9"/>
        <v>5.0149999999999997</v>
      </c>
      <c r="O36" s="130" t="s">
        <v>75</v>
      </c>
      <c r="P36" s="31">
        <v>9449</v>
      </c>
    </row>
    <row r="37" spans="1:16" hidden="1" x14ac:dyDescent="0.25">
      <c r="A37" s="246" t="s">
        <v>122</v>
      </c>
      <c r="B37" s="29" t="s">
        <v>50</v>
      </c>
      <c r="C37" s="33">
        <v>128</v>
      </c>
      <c r="D37" s="30">
        <f>D34*2</f>
        <v>309.39999999999998</v>
      </c>
      <c r="E37" s="33"/>
      <c r="F37" s="41"/>
      <c r="G37" s="48">
        <v>1.85</v>
      </c>
      <c r="H37" s="30">
        <v>7.6999999999999999E-2</v>
      </c>
      <c r="I37" s="47">
        <v>9.1999999999999998E-2</v>
      </c>
      <c r="J37" s="46">
        <f t="shared" si="10"/>
        <v>4260256</v>
      </c>
      <c r="K37" s="46">
        <f>IF(ROUND(('Расчет 3Р'!$D$5/L37),0)=0,1,CEILING(('Расчет 3Р'!$D$5/L37),1))*IF(ROUND(('Расчет 3Р'!$E$5/M37),0)=0,1,CEILING(('Расчет 3Р'!$E$5/M37),1))*IF(ROUND(('Расчет 3Р'!C$5/N37),0)=0,1,CEILING(('Расчет 3Р'!C$5/N37),1))</f>
        <v>224</v>
      </c>
      <c r="L37" s="130">
        <f t="shared" si="11"/>
        <v>6.9</v>
      </c>
      <c r="M37" s="113">
        <f t="shared" si="12"/>
        <v>5</v>
      </c>
      <c r="N37" s="46">
        <f t="shared" si="9"/>
        <v>8.9681159420289855</v>
      </c>
      <c r="O37" s="54" t="s">
        <v>36</v>
      </c>
      <c r="P37" s="34">
        <v>19019</v>
      </c>
    </row>
    <row r="38" spans="1:16" hidden="1" x14ac:dyDescent="0.25">
      <c r="A38" s="246"/>
      <c r="B38" s="29" t="s">
        <v>125</v>
      </c>
      <c r="C38" s="30">
        <v>128</v>
      </c>
      <c r="D38" s="30">
        <f>D35*2</f>
        <v>301.89999999999998</v>
      </c>
      <c r="E38" s="30"/>
      <c r="F38" s="41"/>
      <c r="G38" s="48">
        <v>1.85</v>
      </c>
      <c r="H38" s="30">
        <v>7.6999999999999999E-2</v>
      </c>
      <c r="I38" s="47">
        <v>9.1999999999999998E-2</v>
      </c>
      <c r="J38" s="46">
        <f t="shared" si="10"/>
        <v>4374370</v>
      </c>
      <c r="K38" s="46">
        <f>IF(ROUND(('Расчет 3Р'!$D$5/L38),0)=0,1,CEILING(('Расчет 3Р'!$D$5/L38),1))*IF(ROUND(('Расчет 3Р'!$E$5/M38),0)=0,1,CEILING(('Расчет 3Р'!$E$5/M38),1))*IF(ROUND(('Расчет 3Р'!C$5/N38),0)=0,1,CEILING(('Расчет 3Р'!C$5/N38),1))</f>
        <v>230</v>
      </c>
      <c r="L38" s="130">
        <f t="shared" si="11"/>
        <v>6.9</v>
      </c>
      <c r="M38" s="113">
        <f t="shared" si="12"/>
        <v>5</v>
      </c>
      <c r="N38" s="46">
        <f t="shared" si="9"/>
        <v>8.7507246376811594</v>
      </c>
      <c r="O38" s="130" t="s">
        <v>33</v>
      </c>
      <c r="P38" s="34">
        <v>19019</v>
      </c>
    </row>
    <row r="39" spans="1:16" hidden="1" x14ac:dyDescent="0.25">
      <c r="A39" s="246"/>
      <c r="B39" s="29" t="s">
        <v>54</v>
      </c>
      <c r="C39" s="33">
        <v>128</v>
      </c>
      <c r="D39" s="30">
        <f>D36*2</f>
        <v>300.89999999999998</v>
      </c>
      <c r="E39" s="33"/>
      <c r="F39" s="41"/>
      <c r="G39" s="48">
        <v>1.85</v>
      </c>
      <c r="H39" s="30">
        <v>7.6999999999999999E-2</v>
      </c>
      <c r="I39" s="47">
        <v>9.1999999999999998E-2</v>
      </c>
      <c r="J39" s="46">
        <f t="shared" ref="J39" si="13">K39*$P39</f>
        <v>4374370</v>
      </c>
      <c r="K39" s="46">
        <f>IF(ROUND(('Расчет 3Р'!$D$5/L39),0)=0,1,CEILING(('Расчет 3Р'!$D$5/L39),1))*IF(ROUND(('Расчет 3Р'!$E$5/M39),0)=0,1,CEILING(('Расчет 3Р'!$E$5/M39),1))*IF(ROUND(('Расчет 3Р'!C$5/N39),0)=0,1,CEILING(('Расчет 3Р'!C$5/N39),1))</f>
        <v>230</v>
      </c>
      <c r="L39" s="130">
        <f t="shared" si="11"/>
        <v>6.9</v>
      </c>
      <c r="M39" s="113">
        <f t="shared" si="12"/>
        <v>5</v>
      </c>
      <c r="N39" s="46">
        <f t="shared" si="9"/>
        <v>8.7217391304347824</v>
      </c>
      <c r="O39" s="54" t="s">
        <v>36</v>
      </c>
      <c r="P39" s="34">
        <v>19019</v>
      </c>
    </row>
    <row r="40" spans="1:16" hidden="1" x14ac:dyDescent="0.25"/>
    <row r="41" spans="1:16" hidden="1" x14ac:dyDescent="0.25"/>
    <row r="42" spans="1:16" hidden="1" x14ac:dyDescent="0.25"/>
    <row r="43" spans="1:16" hidden="1" x14ac:dyDescent="0.25">
      <c r="K43">
        <f>L43*M43*N43</f>
        <v>2212.3464770523592</v>
      </c>
      <c r="L43">
        <f>185/L34</f>
        <v>30.833333333333332</v>
      </c>
      <c r="M43">
        <f>10/M34</f>
        <v>2</v>
      </c>
      <c r="N43">
        <f>185/N34</f>
        <v>35.875888817065288</v>
      </c>
    </row>
    <row r="44" spans="1:16" hidden="1" x14ac:dyDescent="0.25">
      <c r="L44">
        <f>L34*M34*N34</f>
        <v>154.69999999999999</v>
      </c>
    </row>
    <row r="45" spans="1:16" hidden="1" x14ac:dyDescent="0.25"/>
    <row r="46" spans="1:16" hidden="1" x14ac:dyDescent="0.25">
      <c r="L46">
        <f>'Расчет 3Р'!C5/'Лист 5'!L34</f>
        <v>166.66666666666666</v>
      </c>
      <c r="M46">
        <f>'Расчет 3Р'!E5/'Лист 5'!M34</f>
        <v>1</v>
      </c>
      <c r="N46">
        <f>'Расчет 3Р'!C5/N34</f>
        <v>193.92372333548806</v>
      </c>
    </row>
    <row r="47" spans="1:16" hidden="1" x14ac:dyDescent="0.25"/>
    <row r="48" spans="1:16" hidden="1" x14ac:dyDescent="0.25">
      <c r="L48">
        <v>31</v>
      </c>
      <c r="M48">
        <v>2</v>
      </c>
      <c r="N48">
        <v>36</v>
      </c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</sheetData>
  <sheetProtection password="C7BD" sheet="1" objects="1" scenarios="1" selectLockedCells="1" selectUnlockedCells="1"/>
  <mergeCells count="22">
    <mergeCell ref="G5:I5"/>
    <mergeCell ref="AI6:AT6"/>
    <mergeCell ref="AU6:BF6"/>
    <mergeCell ref="BG6:BR6"/>
    <mergeCell ref="A7:A9"/>
    <mergeCell ref="A10:A12"/>
    <mergeCell ref="N14:N15"/>
    <mergeCell ref="O14:O15"/>
    <mergeCell ref="N16:N17"/>
    <mergeCell ref="O16:O17"/>
    <mergeCell ref="C20:H20"/>
    <mergeCell ref="C21:H21"/>
    <mergeCell ref="C26:H26"/>
    <mergeCell ref="W6:AH6"/>
    <mergeCell ref="J6:U6"/>
    <mergeCell ref="N18:N19"/>
    <mergeCell ref="O18:O19"/>
    <mergeCell ref="L31:M31"/>
    <mergeCell ref="G32:I32"/>
    <mergeCell ref="J32:N32"/>
    <mergeCell ref="A34:A36"/>
    <mergeCell ref="A37:A39"/>
  </mergeCells>
  <hyperlinks>
    <hyperlink ref="B7" r:id="rId1" display="https://zao-proton.ru/product/fitoled-svetilniki-serii-fgo-vp?shopSku_id=64"/>
    <hyperlink ref="B8" r:id="rId2" display="https://zao-proton.ru/product/fitoled-svetilniki-serii-fgo-vp?shopSku_id=64"/>
    <hyperlink ref="B9" r:id="rId3" display="https://zao-proton.ru/product/fitoled-svetilniki-serii-fgo-vp?shopSku_id=64"/>
    <hyperlink ref="B10" r:id="rId4" display="https://zao-proton.ru/product/fitoled-svetilniki-serii-fgo-vp?shopSku_id=64"/>
    <hyperlink ref="B11" r:id="rId5" display="https://zao-proton.ru/product/fitoled-svetilniki-serii-fgo-vp?shopSku_id=64"/>
    <hyperlink ref="B12" r:id="rId6" display="https://zao-proton.ru/product/fitoled-svetilniki-serii-fgo-vp?shopSku_id=64"/>
    <hyperlink ref="B34" r:id="rId7" display="https://zao-proton.ru/product/fitoled-svetilniki-serii-fgo-vp?shopSku_id=64"/>
    <hyperlink ref="B35" r:id="rId8" display="https://zao-proton.ru/product/fitoled-svetilniki-serii-fgo-vp?shopSku_id=64"/>
    <hyperlink ref="B36" r:id="rId9" display="https://zao-proton.ru/product/fitoled-svetilniki-serii-fgo-vp?shopSku_id=64"/>
    <hyperlink ref="B39" r:id="rId10" display="https://zao-proton.ru/product/fitoled-svetilniki-serii-fgo-vp?shopSku_id=6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Культура</vt:lpstr>
      <vt:lpstr>Расчет</vt:lpstr>
      <vt:lpstr>Расчет 3Р</vt:lpstr>
      <vt:lpstr>Лист 1</vt:lpstr>
      <vt:lpstr>Лист 2</vt:lpstr>
      <vt:lpstr>Лист 3</vt:lpstr>
      <vt:lpstr>Лист 4</vt:lpstr>
      <vt:lpstr>Лист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Тепанов Евгений Александрович</dc:creator>
  <cp:lastModifiedBy>Тепанов Евгений Александрович</cp:lastModifiedBy>
  <cp:lastPrinted>2020-06-05T05:28:48Z</cp:lastPrinted>
  <dcterms:created xsi:type="dcterms:W3CDTF">2020-06-03T07:29:17Z</dcterms:created>
  <dcterms:modified xsi:type="dcterms:W3CDTF">2020-09-02T09:08:17Z</dcterms:modified>
</cp:coreProperties>
</file>